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255" windowWidth="7995" windowHeight="12660" activeTab="5"/>
  </bookViews>
  <sheets>
    <sheet name="1.pielik." sheetId="1" r:id="rId1"/>
    <sheet name="2.pielik." sheetId="2" r:id="rId2"/>
    <sheet name="3.pielik." sheetId="3" r:id="rId3"/>
    <sheet name="4.pielik." sheetId="4" r:id="rId4"/>
    <sheet name="5.pielik." sheetId="5" r:id="rId5"/>
    <sheet name="6.pielik." sheetId="6" r:id="rId6"/>
    <sheet name="7.pielik." sheetId="7" r:id="rId7"/>
    <sheet name="8.pielik." sheetId="8" r:id="rId8"/>
    <sheet name="9.pielik." sheetId="9" r:id="rId9"/>
    <sheet name="10.pielik.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<sst xmlns="http://schemas.openxmlformats.org/spreadsheetml/2006/main" count="1604" uniqueCount="508">
  <si>
    <t>3.pielikums</t>
  </si>
  <si>
    <t>Klasifikācijas kods</t>
  </si>
  <si>
    <t>Nosaukums</t>
  </si>
  <si>
    <t>Daugavpils pilsētas dome</t>
  </si>
  <si>
    <t>Resursi  izdevumu  segšanai</t>
  </si>
  <si>
    <t>Naudas līdzekļu atlikums Domes norēķinu centrā</t>
  </si>
  <si>
    <t>Dotācija no vispārējiem ieņēmumiem</t>
  </si>
  <si>
    <t>Maksas pakalpojumi un citi pašu ieņēmumi</t>
  </si>
  <si>
    <t>Izdevumi - kopā</t>
  </si>
  <si>
    <t>Uzturēšanas izdevumi</t>
  </si>
  <si>
    <t xml:space="preserve">Daugavpils pilsētas dome </t>
  </si>
  <si>
    <t xml:space="preserve">Uzturēšanas izdevumi </t>
  </si>
  <si>
    <t xml:space="preserve">Izdevumi kapitālieguldījumiem </t>
  </si>
  <si>
    <t>Pašvaldības nekustamā īpašuma atsavināšanas procesa nodrošināšana</t>
  </si>
  <si>
    <t>Dalības maksa Latvijas Pašvaldību savienībai</t>
  </si>
  <si>
    <t>Dalības maksa Latvijas lielo pilsētu asociācijai</t>
  </si>
  <si>
    <t>Projekts "Pārrobežu sadarbības veicināšana starp Daugavpils pilsētu un Zarasu rajonu attīstot tūrismu"</t>
  </si>
  <si>
    <t>Naudas līdzekļu atlikums Valsts kases norēķinu centrā</t>
  </si>
  <si>
    <t>03.000</t>
  </si>
  <si>
    <t>Glābšanas dienests</t>
  </si>
  <si>
    <t>Pašvaldības policija</t>
  </si>
  <si>
    <t xml:space="preserve">Detoksikācijas palātas pakalpojumu apmaksa </t>
  </si>
  <si>
    <t>04.000</t>
  </si>
  <si>
    <t>Izglītība</t>
  </si>
  <si>
    <t>Izglītības pārvalde</t>
  </si>
  <si>
    <t>projektu atlikumi</t>
  </si>
  <si>
    <t>maksas pakalpojumu atlikumi</t>
  </si>
  <si>
    <t>Maksājumi no valsts budžeta</t>
  </si>
  <si>
    <t>Ieņēmumi projektu realizācijai</t>
  </si>
  <si>
    <t>04.110</t>
  </si>
  <si>
    <t>Pirmsskolas bērnu iestādes</t>
  </si>
  <si>
    <t>Sākumskolas, pamatskolas, vidusskolas</t>
  </si>
  <si>
    <t>Speciālā internātskola</t>
  </si>
  <si>
    <t>04.220</t>
  </si>
  <si>
    <t>Mācību literatūras iegāde</t>
  </si>
  <si>
    <t>Metodiskais darbs un pārējie izglītības pasākumi</t>
  </si>
  <si>
    <t>Mākslas vidusskola "Saules skola"</t>
  </si>
  <si>
    <t>Daugavpils pilsētas Ledus skola</t>
  </si>
  <si>
    <t>Sporta pārvaldes Bērnu un jaunatnes sporta skola</t>
  </si>
  <si>
    <t>Transporta kompensācija  augstskolu dienas nodaļas studentiem pilsētas sabiedriskajā transportā</t>
  </si>
  <si>
    <t>05.000</t>
  </si>
  <si>
    <t>SIA "Daugavpils reģionālā slimnīca"</t>
  </si>
  <si>
    <t>SIA "Daugavpils Bērnu veselības centrs"</t>
  </si>
  <si>
    <t>Daugavpils pilsētas Sporta medicīnas centrs</t>
  </si>
  <si>
    <t>Daugavpils Neatliekamās medicīniskās palīdzības stacija</t>
  </si>
  <si>
    <t>06.000</t>
  </si>
  <si>
    <t>Sociālā apdrošināšana un sociālā nodrošināšana</t>
  </si>
  <si>
    <t>Sociālo lietu pārvalde</t>
  </si>
  <si>
    <t>Sociālo lietu pārvalde (pārvalde un vadība)</t>
  </si>
  <si>
    <t>Bērnunams-patversme "Auseklītis"</t>
  </si>
  <si>
    <t>Bērnunams-patversme "Priedīte"</t>
  </si>
  <si>
    <t>Pensionāru sociālās apkalpošanas teritoriālais centrs</t>
  </si>
  <si>
    <t>Projekts "Personu ar garīga rakstura traucējumiem integrācija darba tirgū Daugavpilī"</t>
  </si>
  <si>
    <t>Projekts "Sociālā riska ģimeņu izglītošanas programmas izveidošana un ieviešana Daugavpilī"</t>
  </si>
  <si>
    <t>Projekts "Motivācijas programma Daugavpils jauniešiem ar zemu pamatprasmju līmeni"</t>
  </si>
  <si>
    <t>Projekts "Daugavpils pilsētas pašvaldības un nevalstisko organizāciju kapacitātes celšana projektu sagatavošana un ieviešanā"</t>
  </si>
  <si>
    <t>Projekts "Jauniešu bezdarbnieku darba prakses vietu nodrošināšana Daugavpils sociālās un izglītības iestādēs"</t>
  </si>
  <si>
    <t>Projekts "Personu ar invaliditāti pašnodarbinātības uzsākšanas apmācību programmas izstrāde un ieviešana"</t>
  </si>
  <si>
    <t>Projekts "Daugavpils pilsētas cilvēkresursu, kā darba spēka pieejamības analīze nodarbinātības problēmu risināšanai Austrumlatgales darba tirgū"</t>
  </si>
  <si>
    <t>Bāriņtiesa</t>
  </si>
  <si>
    <t>07.000</t>
  </si>
  <si>
    <t>Daugavpils pilsētas domes komunālās saimniecības nodaļa</t>
  </si>
  <si>
    <t>Sanitārie pasākumi, ietverot vides aisardzības pasākumus</t>
  </si>
  <si>
    <t>Ielu apgaismošana</t>
  </si>
  <si>
    <t>Dzīvojamās telpas atbrīvošanas pabalsti</t>
  </si>
  <si>
    <t>Pašvaldības SIA "Daugavpils ūdens"</t>
  </si>
  <si>
    <r>
      <t xml:space="preserve">SIA "AADSO" </t>
    </r>
    <r>
      <rPr>
        <u val="single"/>
        <sz val="9"/>
        <rFont val="Times New Roman Baltic"/>
        <family val="1"/>
      </rPr>
      <t>(atkritumu apsaimniekošanas projekts)</t>
    </r>
  </si>
  <si>
    <t>Pašvaldības dzīvojamā fonda uzturēšanas un kapitālā remonta izdevumi</t>
  </si>
  <si>
    <t>Topogrāfiskā uzmērījuma izstrādāšana Daugavpils Cietoksnī</t>
  </si>
  <si>
    <t>08.000</t>
  </si>
  <si>
    <t>Sporta pārvalde</t>
  </si>
  <si>
    <t>Sporta pārvalde (pārvalde un vadība)</t>
  </si>
  <si>
    <t>Jaunatnes lietu nodaļa</t>
  </si>
  <si>
    <t>Jaunatnes lietu nodaļa (pārvalde un vadība)</t>
  </si>
  <si>
    <t>08.100</t>
  </si>
  <si>
    <t>Kultūras nodaļa</t>
  </si>
  <si>
    <t>Kultūras nodaļa (pārvalde un vadība)</t>
  </si>
  <si>
    <t>Kultūras pasākumi</t>
  </si>
  <si>
    <t>Tautas mākslas pašdarbības kolektīvu vadītāju izdevumi darba algām un sociālā nodokļa nomaksai</t>
  </si>
  <si>
    <t>Daugavpils novadpētniecības un mākslas muzejs</t>
  </si>
  <si>
    <t>08.220</t>
  </si>
  <si>
    <t>08.210</t>
  </si>
  <si>
    <t>Latgales centrālā bibliotēka</t>
  </si>
  <si>
    <t>Latviešu kultūras centrs</t>
  </si>
  <si>
    <t>Dotācija no vispārējiem ieņēmumiem:</t>
  </si>
  <si>
    <t>08.230</t>
  </si>
  <si>
    <t>Poļu kultūras centrs</t>
  </si>
  <si>
    <t>Baltkrievu kultūras centrs</t>
  </si>
  <si>
    <t>Krievu kultūras centrs</t>
  </si>
  <si>
    <t>Latgales zoodārzs</t>
  </si>
  <si>
    <t>SIA "Daugavpils olimpiskais centrs"</t>
  </si>
  <si>
    <t>Projekts "Latvijas-Lietuvas pārrobežu basketbola čempionātu un ielas basketbola turnīru organizēšana"</t>
  </si>
  <si>
    <t>SIA "Kultūras un sporta pils"</t>
  </si>
  <si>
    <t>09.000</t>
  </si>
  <si>
    <t>Projekts "Pilsētas sabiedriskā transporta problēmu risināšānas ceļi Eiropā"</t>
  </si>
  <si>
    <t>A/s "Tramvaju uzņēmums"</t>
  </si>
  <si>
    <t>Maksājumi par autobusu  iegādi</t>
  </si>
  <si>
    <t>SIA "Daugavpils lidosta"</t>
  </si>
  <si>
    <t>Sabiedrisko pakalpojumu regulators</t>
  </si>
  <si>
    <t>Projekts "Uzņēmējdarbības (mazumtirdzniecības) attīstība kā pilsētvides veidojošais elements"</t>
  </si>
  <si>
    <t>Projekts "Biznesa pamati cilvēkiem ar īpašām vajadzībām"</t>
  </si>
  <si>
    <t>Projekts "Stratēģiskais mārketings kā pārrobežu sadarbības veicinātājs"</t>
  </si>
  <si>
    <t>Projekts "Reģiona attīstība, ieviešot reģenerācijas pasākumus"</t>
  </si>
  <si>
    <t>Pašvaldības parādu procentu nomaksa</t>
  </si>
  <si>
    <r>
      <t xml:space="preserve">Maksas pakalpojumi un citi pašu ieņēmumi </t>
    </r>
    <r>
      <rPr>
        <i/>
        <sz val="8"/>
        <rFont val="Times New Roman Baltic"/>
        <family val="1"/>
      </rPr>
      <t>(Izglītības pārvalde )</t>
    </r>
  </si>
  <si>
    <t>Norēķini ar pašvaldību budžetiem par citu pašvaldību izglītības iestāžu sniegtajiem pakalpojumiem</t>
  </si>
  <si>
    <t>Izdevumi neparedzētiem gadījumiem</t>
  </si>
  <si>
    <t>Līdzekļi projektu realizācijai</t>
  </si>
  <si>
    <t>Banku pakalpojumi u.c.</t>
  </si>
  <si>
    <t>*</t>
  </si>
  <si>
    <t>Aizdevumu atmaksa</t>
  </si>
  <si>
    <r>
      <t>Maksas pakalpojumu un citu pašu ieņēmumi</t>
    </r>
    <r>
      <rPr>
        <i/>
        <sz val="8"/>
        <rFont val="Times New Roman Baltic"/>
        <family val="1"/>
      </rPr>
      <t xml:space="preserve"> (Izglītības pārvalde)</t>
    </r>
  </si>
  <si>
    <t xml:space="preserve">* </t>
  </si>
  <si>
    <t>Zirgu cienītāju bērnu sporta klubs</t>
  </si>
  <si>
    <t>Invalīdu sporta klubs "Daugavpils"</t>
  </si>
  <si>
    <t>Invalīdu sporta klubs "Elpa"</t>
  </si>
  <si>
    <t>Sporta klubs "Dinazis"</t>
  </si>
  <si>
    <t>Volejbola sporta klubs</t>
  </si>
  <si>
    <t>Basketbola klubs</t>
  </si>
  <si>
    <t>Izpletņlēcēju klubs "D.I.S.K"</t>
  </si>
  <si>
    <r>
      <t xml:space="preserve">Daugavpils pilsētas pašvaldības 2007.gada pamatbudžeta izdevumu atšifrējums                                 </t>
    </r>
    <r>
      <rPr>
        <i/>
        <sz val="10"/>
        <rFont val="Times New Roman Baltic"/>
        <family val="1"/>
      </rPr>
      <t>(norādot ieņēmumu avotus izdevumu segšanai)</t>
    </r>
  </si>
  <si>
    <t>Vispārējie valdības dienesti</t>
  </si>
  <si>
    <t>01. 000</t>
  </si>
  <si>
    <t>01.890</t>
  </si>
  <si>
    <t>Kapitālie izdevumi</t>
  </si>
  <si>
    <t>01.600</t>
  </si>
  <si>
    <t>01.720</t>
  </si>
  <si>
    <t>01.830</t>
  </si>
  <si>
    <t>Pārējie citur neklasificētie vispārēja rakstura transferti starp dažādiem valsts pārvaldes līmeņiem</t>
  </si>
  <si>
    <t>Mierizlīgums civllietā</t>
  </si>
  <si>
    <t>Sabiedriskā kārtība un drošība</t>
  </si>
  <si>
    <t>03.140</t>
  </si>
  <si>
    <t>03.312</t>
  </si>
  <si>
    <r>
      <t xml:space="preserve">Netaliekamās medicīniskās palīdzības stacija </t>
    </r>
    <r>
      <rPr>
        <i/>
        <sz val="9"/>
        <rFont val="Times New Roman Baltic"/>
        <family val="1"/>
      </rPr>
      <t>- (patanatomijas mašīna)</t>
    </r>
  </si>
  <si>
    <t>Ekonomiskā darbība</t>
  </si>
  <si>
    <t>Mežsaimniecība</t>
  </si>
  <si>
    <t>04.510</t>
  </si>
  <si>
    <t>Ceļu infrastruktūras uzturēšana</t>
  </si>
  <si>
    <r>
      <t>Ceļu infrastruktūras uzturēšana</t>
    </r>
    <r>
      <rPr>
        <b/>
        <sz val="9"/>
        <rFont val="Times New Roman Baltic"/>
        <family val="1"/>
      </rPr>
      <t xml:space="preserve"> (Krimuldas ielas rekontrukcija)</t>
    </r>
  </si>
  <si>
    <t>04.530</t>
  </si>
  <si>
    <t>04.540</t>
  </si>
  <si>
    <t>Projekts "Uzņēmējdarbības aktivitātes paaugstināšana Daugavpilī un Zarasos, izmantojot biznesa informācijas centru tīklu"</t>
  </si>
  <si>
    <t>Vides aizsardzība</t>
  </si>
  <si>
    <t>05.100</t>
  </si>
  <si>
    <t>05.200</t>
  </si>
  <si>
    <t>Notekūdeņu apsaimniekošana</t>
  </si>
  <si>
    <t>Pašvaldības teritoriju un mājokļu apsaimniekošana</t>
  </si>
  <si>
    <t>06.600</t>
  </si>
  <si>
    <t>06.400</t>
  </si>
  <si>
    <t>Pārējā citur neklasificētā pašvaldību teritoriju un mājokļa apsaimniekošanas darbība</t>
  </si>
  <si>
    <t>06.100</t>
  </si>
  <si>
    <t>Rekonstrukcija projekts Šaurā ielā 24</t>
  </si>
  <si>
    <t>06.200</t>
  </si>
  <si>
    <t>06.300</t>
  </si>
  <si>
    <t>Uzturēšanas izdevumi  (pašvaldības līdzfinansējums)</t>
  </si>
  <si>
    <t>Veselība</t>
  </si>
  <si>
    <t>07.210</t>
  </si>
  <si>
    <t>07.310</t>
  </si>
  <si>
    <t>Maksājumi no valsts budžeta - ( VOAVA)</t>
  </si>
  <si>
    <t>07.470</t>
  </si>
  <si>
    <t>10.000</t>
  </si>
  <si>
    <t>08.610</t>
  </si>
  <si>
    <t>Pārējās sporta iestādes (sporta pasakumi, stadions "Celtnieks", stadions "Lokomotīve", Šaha klubs, dotācijas sporta klubiem*)</t>
  </si>
  <si>
    <t>08.290</t>
  </si>
  <si>
    <t>09.210</t>
  </si>
  <si>
    <t>09.510</t>
  </si>
  <si>
    <t>09.240</t>
  </si>
  <si>
    <t xml:space="preserve">Specializētās pirmsskolas izglītības iestādes </t>
  </si>
  <si>
    <t>Profesionālā vidējā izglītības iestāde (mācību ražošanas centrs)</t>
  </si>
  <si>
    <t>Interešu un profesionālās ievirzes izglītība  ( Jaunatnes skola, BJC "Jaunība")</t>
  </si>
  <si>
    <t>09.810</t>
  </si>
  <si>
    <t>10.910</t>
  </si>
  <si>
    <t>10.700</t>
  </si>
  <si>
    <t>10.200</t>
  </si>
  <si>
    <t>10.120</t>
  </si>
  <si>
    <t>Dienas aprūpes centrs personām ar gar.rakst.trauc."Cerība"</t>
  </si>
  <si>
    <t>10.600</t>
  </si>
  <si>
    <t>Resursi izdevumu segšanai</t>
  </si>
  <si>
    <t>Naudas līdzekļu atlikums VK norēķinu centrā</t>
  </si>
  <si>
    <t>08.620</t>
  </si>
  <si>
    <t>Pārējie atpūtas pasākumi (darbs ar jaunatni)</t>
  </si>
  <si>
    <t>Pārējie atpūtas pasākumi (nometnes)</t>
  </si>
  <si>
    <t>Dotācija no vispārējiem ieņēmumiem t.sk.:</t>
  </si>
  <si>
    <t>projektu priekšfinansējums un līdzfinansējums</t>
  </si>
  <si>
    <t>tekošo izdevumu segšanai</t>
  </si>
  <si>
    <t>Valsts kases norēķinu centrā</t>
  </si>
  <si>
    <t>Pārējā izglītības pārvaldes vadība</t>
  </si>
  <si>
    <t>Naudas līdzekļu atlikums t.sk.:</t>
  </si>
  <si>
    <t xml:space="preserve"> Domes norēķinu centrā</t>
  </si>
  <si>
    <t xml:space="preserve">IZDEVUMI KOPĀ </t>
  </si>
  <si>
    <r>
      <t>SIA "Daugavpils Autobusu parks"</t>
    </r>
    <r>
      <rPr>
        <sz val="9"/>
        <rFont val="Times New Roman Baltic"/>
        <family val="1"/>
      </rPr>
      <t xml:space="preserve">  </t>
    </r>
    <r>
      <rPr>
        <sz val="8"/>
        <rFont val="Times New Roman Baltic"/>
        <family val="1"/>
      </rPr>
      <t xml:space="preserve"> (dotācija zaudējumu segšanai par braukšanas atvieglojumiem)</t>
    </r>
  </si>
  <si>
    <r>
      <t>A/S "Tramvaju uzņēmums"</t>
    </r>
    <r>
      <rPr>
        <sz val="9"/>
        <rFont val="Times New Roman Baltic"/>
        <family val="1"/>
      </rPr>
      <t xml:space="preserve">     </t>
    </r>
    <r>
      <rPr>
        <sz val="8"/>
        <rFont val="Times New Roman Baltic"/>
        <family val="1"/>
      </rPr>
      <t>(dotācija zaudējumu segšanai par braukšanas atvieglojumiem)</t>
    </r>
  </si>
  <si>
    <t>Dotācija no vispārējiem ieņēmumiem  (priekšfinansējums)</t>
  </si>
  <si>
    <t xml:space="preserve">Naudas līdzekļu atlikums t.sk.: </t>
  </si>
  <si>
    <t>Domes norēķinu centrā</t>
  </si>
  <si>
    <t>Dotācija no vispārējiem ieņēmumiem  (līdzfinansējums)</t>
  </si>
  <si>
    <t>Atpūta, kultūra un reliģija</t>
  </si>
  <si>
    <t>Ls</t>
  </si>
  <si>
    <t>Biedrība bērnu sporta klubs "Veiksme VR"</t>
  </si>
  <si>
    <t>SIA FC "Dinaburg"</t>
  </si>
  <si>
    <t>Dotācijas sporta klubiem - Ls 196 500, t.sk.:</t>
  </si>
  <si>
    <t>10.900</t>
  </si>
  <si>
    <t>Dalības maksa Latvijas pašvaldību izpilddirektoru asociācijai</t>
  </si>
  <si>
    <t>Domes priekšsēdētāja</t>
  </si>
  <si>
    <t>R.Strode</t>
  </si>
  <si>
    <t>01.100</t>
  </si>
  <si>
    <t>t.sk. atalgojums</t>
  </si>
  <si>
    <t>Daugavpils pilsētas dome - pārējie izdevumi (reprezentācijas izdevumi, mārketings, informatīvā biļetena izdošana, Domes pārstāvnieīcba Rīgas pilsētā)</t>
  </si>
  <si>
    <t>03.110</t>
  </si>
  <si>
    <t>03.200</t>
  </si>
  <si>
    <t>04.910</t>
  </si>
  <si>
    <t>09.100</t>
  </si>
  <si>
    <t>Interešu un profesionālās ievirzes izglītības (sporta izglītības programma)</t>
  </si>
  <si>
    <t>09.820</t>
  </si>
  <si>
    <t>09.600</t>
  </si>
  <si>
    <t>Atbalsts sociāli atstumtātm personām</t>
  </si>
  <si>
    <t>Naudas līdzekļu atlikums Valsts Kases Norēkinu centrā</t>
  </si>
  <si>
    <t>Pašvaldības SIA "Daugavpils ūdens" - projekts  "Notekūdeņu  attīrīšanas iekārtu gaisa attīrīšanas filtru iegādei"</t>
  </si>
  <si>
    <t>*t.sk. VK kredīta atlikums    Ls 20 395</t>
  </si>
  <si>
    <t>6. pielikums</t>
  </si>
  <si>
    <t>I  Ieņēmumi - kopā</t>
  </si>
  <si>
    <t>Privatizācijas fonda līdzekļi</t>
  </si>
  <si>
    <t>Dabas resursu nodoklis</t>
  </si>
  <si>
    <t>Autoceļu (ielu) fonda līdzekļi</t>
  </si>
  <si>
    <t>Mērķdotācijas regulāriem pasažieru pārvadājumiem</t>
  </si>
  <si>
    <t>II  Izdevumi - kopā</t>
  </si>
  <si>
    <t>Pārējie speciālā budžeta īpašiem mērķiem iezīmētie līdzekļi</t>
  </si>
  <si>
    <t>III  Izdevumi atbilstoši funkcionālajām kategorijām</t>
  </si>
  <si>
    <t>01.000</t>
  </si>
  <si>
    <t>Veselības aprūpe</t>
  </si>
  <si>
    <t>Sociālā aizsardzība</t>
  </si>
  <si>
    <t>V  Finansēšana</t>
  </si>
  <si>
    <r>
      <t xml:space="preserve">Naudas līdzekļi </t>
    </r>
    <r>
      <rPr>
        <i/>
        <sz val="8"/>
        <rFont val="Times New Roman Baltic"/>
        <family val="1"/>
      </rPr>
      <t>(atlikuma izmaiņas</t>
    </r>
    <r>
      <rPr>
        <sz val="8"/>
        <rFont val="Times New Roman Baltic"/>
        <family val="1"/>
      </rPr>
      <t>)</t>
    </r>
  </si>
  <si>
    <t xml:space="preserve">        Budžeta līdzekļu atlikums gada sākumā</t>
  </si>
  <si>
    <t xml:space="preserve">        Budžeta līdzekļu atlikums pārskata perioda beigās</t>
  </si>
  <si>
    <t>7.pielikums</t>
  </si>
  <si>
    <r>
      <t xml:space="preserve">Daugavpils pilsētas 2007.gada speciālā budžeta izdevumu atšifrējums                                   </t>
    </r>
    <r>
      <rPr>
        <i/>
        <sz val="8"/>
        <rFont val="Times New Roman Baltic"/>
        <family val="1"/>
      </rPr>
      <t xml:space="preserve">          </t>
    </r>
    <r>
      <rPr>
        <i/>
        <sz val="10"/>
        <rFont val="Times New Roman Baltic"/>
        <family val="1"/>
      </rPr>
      <t>(norādot ieņēmumu avotus izdevumu segšanai)</t>
    </r>
  </si>
  <si>
    <t>Līdzekļu atlikums gada sākumā,t.sk.:</t>
  </si>
  <si>
    <t>līdzekļu atlikums no pašvaldības īpašuma objektu privatizācijas</t>
  </si>
  <si>
    <t>līdzekļu atlikums no dzīvojamo māju privatizācijas</t>
  </si>
  <si>
    <t>Ieņēmumi no pašvaldības īpašuma objektu privatizācijas</t>
  </si>
  <si>
    <t>Iemaksas no BO VAS "Privatizācijas aģentūra" par valsts objektu privatizāciju</t>
  </si>
  <si>
    <t>Ieņēmumi no dzīvojamo māju privatizācijas</t>
  </si>
  <si>
    <t>Izdevumi - kopā:</t>
  </si>
  <si>
    <t>t.sk.atalgojums</t>
  </si>
  <si>
    <t>01.110</t>
  </si>
  <si>
    <t>Dzīvojamo māju privatizācijas procesa nodrošināšana</t>
  </si>
  <si>
    <t>Līdzekļu atlikums gada sākumā</t>
  </si>
  <si>
    <t>Pašvaldības īpašuma privatizācijas procesa nodrošināšana</t>
  </si>
  <si>
    <r>
      <t>Pašvaldības īpašuma privatizācijas fonda līdzekļu izlietojums saskaņā ar apstiprināto programmu</t>
    </r>
    <r>
      <rPr>
        <sz val="8"/>
        <rFont val="Times New Roman Baltic"/>
        <family val="1"/>
      </rPr>
      <t xml:space="preserve"> (skat. 8.pielikumu)</t>
    </r>
  </si>
  <si>
    <t>Resursu izdevumu segšanai</t>
  </si>
  <si>
    <t>Daugavpils pilsētas domes komunālās saimniecības nodaļa*</t>
  </si>
  <si>
    <t>Mērķdotācija autoceļu (ielu) fondam</t>
  </si>
  <si>
    <t>Izdevumi kapitālieguldījumiem</t>
  </si>
  <si>
    <t>* Līdzekļus izlietot atbilstoši Daugavpils pilsētas domes apstiprinātajai autoceļu (ielu) fonda izlietošanas programmai</t>
  </si>
  <si>
    <t>Mērķdotācija regulāriem pasažieru pārvadājumiem</t>
  </si>
  <si>
    <t>SIA "Daugavpils Autobusu parks"</t>
  </si>
  <si>
    <t>Pārējie īpašiem mērķiem iezīmēti līdzekļi</t>
  </si>
  <si>
    <t>05.400</t>
  </si>
  <si>
    <t>05.600</t>
  </si>
  <si>
    <t>Dabas resursu nodokļa ieņēmumi</t>
  </si>
  <si>
    <t>Izdevumi kopā</t>
  </si>
  <si>
    <t>8. pielikums</t>
  </si>
  <si>
    <t>Daugavpils pilsētas pašvaldības īpašuma privatizācijas fonda līdzekļu</t>
  </si>
  <si>
    <t>izlietojuma programma 2007.gadam</t>
  </si>
  <si>
    <t xml:space="preserve">Atskaitījumi Valsts īpašuma privatizācijas aģentūrai </t>
  </si>
  <si>
    <t>Dalības maksa Biedrībai "Latgales reģiona attīstības aģentūra"</t>
  </si>
  <si>
    <t>Dalības maksa SO Eiroreģions "Ezeru zeme"</t>
  </si>
  <si>
    <t>Biedra nauda "Slimnīcas atbalsta biedrība"</t>
  </si>
  <si>
    <t>Prēmiju fonds metu konkursam</t>
  </si>
  <si>
    <t>Konkurss "Par labāko sabiedrības integrācijas norišu atspoguļojumu Daugavpils pilsētas masu saziņu līdzekļos"</t>
  </si>
  <si>
    <t>Restorānu, kafejnīcu konkurss</t>
  </si>
  <si>
    <t>04.730</t>
  </si>
  <si>
    <t xml:space="preserve"> SIA "Daugavpils novada tūrisma informācijas centrs" </t>
  </si>
  <si>
    <t>SIA "Daugavpils Bērnu veselības centrs" (dotācija)</t>
  </si>
  <si>
    <t>Biedrība "Daugavpils pilsētas hokeja klubs" (dotācija)</t>
  </si>
  <si>
    <t>08.240</t>
  </si>
  <si>
    <t>Daugavpils teātris</t>
  </si>
  <si>
    <t>08.400</t>
  </si>
  <si>
    <t>Daugavpils Svēto Pētera un Pāvila pareizticīgo draudze</t>
  </si>
  <si>
    <t>Daugavpils Mārtiņa Lutera evanģēliski luteriskā draudze</t>
  </si>
  <si>
    <t>Latgales Pētniecības biedrība "Latgola"</t>
  </si>
  <si>
    <t>09.410</t>
  </si>
  <si>
    <t>Pašvaldības stipendijas (stipendijas piešķiramas, pamatojoties uz atsevišķiem Daugavpils pilsētas domes lēmumiem)</t>
  </si>
  <si>
    <t>10.920</t>
  </si>
  <si>
    <r>
      <t>Sabiedrisko organizāciju atbalsta fonds (</t>
    </r>
    <r>
      <rPr>
        <i/>
        <sz val="8"/>
        <rFont val="Times New Roman Baltic"/>
        <family val="1"/>
      </rPr>
      <t>apropriācijas sadalījumu</t>
    </r>
    <r>
      <rPr>
        <sz val="8"/>
        <rFont val="Times New Roman Baltic"/>
        <family val="1"/>
      </rPr>
      <t xml:space="preserve"> </t>
    </r>
    <r>
      <rPr>
        <i/>
        <sz val="8"/>
        <rFont val="Times New Roman Baltic"/>
        <family val="1"/>
      </rPr>
      <t>nosaka Sociālo jautājumu komiteja</t>
    </r>
    <r>
      <rPr>
        <sz val="8"/>
        <rFont val="Times New Roman Baltic"/>
        <family val="1"/>
      </rPr>
      <t>)</t>
    </r>
  </si>
  <si>
    <t>9. pielikums</t>
  </si>
  <si>
    <t>Domes 2006.gada ___.aprīļa</t>
  </si>
  <si>
    <t xml:space="preserve">saistošajiem noteikumiem Nr. ____ </t>
  </si>
  <si>
    <t>(protokols Nr.   .&amp;)</t>
  </si>
  <si>
    <t>Ziedojumi un dāvinājumi, kas saņemti no juridiskām personām</t>
  </si>
  <si>
    <t>Ziedojumi un dāvinājumi, kas saņemti no fiziskām personām</t>
  </si>
  <si>
    <t xml:space="preserve">II  Izdevumi pēc valdības funkcijām </t>
  </si>
  <si>
    <t>Visparējie valdības dienesti</t>
  </si>
  <si>
    <t>IV  Finansēšana</t>
  </si>
  <si>
    <t>Naudas līdzekļi (atlikuma izmaiņas)</t>
  </si>
  <si>
    <t>Budžeta līdzekļu atlikums gada sākumā</t>
  </si>
  <si>
    <t>Budžeta līdzekļu atlikums pārskata perioda beigās</t>
  </si>
  <si>
    <t xml:space="preserve">            Domes priekšsēdētāja</t>
  </si>
  <si>
    <t>10. pielikums</t>
  </si>
  <si>
    <t>(norādot ieņēmumu avotus izdevumu segšanai)</t>
  </si>
  <si>
    <t>Daugavpils Latgales centrālā bibliotēka</t>
  </si>
  <si>
    <t>Daugavpils Novadpētniecības un mākslas muzejs</t>
  </si>
  <si>
    <t>Ziedojumu un dāvinājumu ieņēmumi</t>
  </si>
  <si>
    <t>1.pielikums</t>
  </si>
  <si>
    <t>Daugavpils pilsētas pašvaldības 2007.gada kopbudžets</t>
  </si>
  <si>
    <t xml:space="preserve">I </t>
  </si>
  <si>
    <t>Pašvaldības kopbudžeta ieņēmumi kopā (II+III+IV)</t>
  </si>
  <si>
    <t xml:space="preserve">II </t>
  </si>
  <si>
    <t>Pašvaldības pamatbudžeta ieņēmumi</t>
  </si>
  <si>
    <t>Nodokļu ieņēmumi</t>
  </si>
  <si>
    <t>Nenodokļu ieņēmumi</t>
  </si>
  <si>
    <t>Transfertu ieņēmumi</t>
  </si>
  <si>
    <t>Budžeta iestāžu ieņēmumi</t>
  </si>
  <si>
    <t>III</t>
  </si>
  <si>
    <t>Pašvaldības speciālā budžeta ieņēmumi (neieskaitot ziedojumus un dāvinājumus)</t>
  </si>
  <si>
    <t>Mērķdotācijas regulārajiem pasažieru pārvadājumiem</t>
  </si>
  <si>
    <t>IV</t>
  </si>
  <si>
    <t>V</t>
  </si>
  <si>
    <t>VI</t>
  </si>
  <si>
    <t>Pašvaldības pamatbudžeta izdevumi</t>
  </si>
  <si>
    <t>VII</t>
  </si>
  <si>
    <t>Pašvaldības speciālā budžeta izdevumi (neieskaitot ziedojumus un dāvinājumus)</t>
  </si>
  <si>
    <t>VIII</t>
  </si>
  <si>
    <t>Ziedojumu un dāvinājumu izdevumi</t>
  </si>
  <si>
    <t>IX</t>
  </si>
  <si>
    <t>Pārējie īpašiem mērķiem iezīmētie līdzekļi</t>
  </si>
  <si>
    <t>Ieņēmumu pārsniegums (+) vai deficīts (-)</t>
  </si>
  <si>
    <t>X</t>
  </si>
  <si>
    <t>Finansēšana</t>
  </si>
  <si>
    <t>Iekšējā finansēšana</t>
  </si>
  <si>
    <t>No citām valsts pārvaldes struktūrām</t>
  </si>
  <si>
    <t>No komercbankām</t>
  </si>
  <si>
    <t>2.pielikums</t>
  </si>
  <si>
    <t>Daugavpils pilsētas pašvaldības 2007.gada pamatbudžets</t>
  </si>
  <si>
    <t>1.1.0.0.</t>
  </si>
  <si>
    <t>Iedzīvotāju ienākuma nodoklis</t>
  </si>
  <si>
    <t>4.0.0.0.</t>
  </si>
  <si>
    <t>Īpašuma nodokļi</t>
  </si>
  <si>
    <t>4.1.1.0.</t>
  </si>
  <si>
    <t>Nekustamā īpašuma nodoklis par zemi</t>
  </si>
  <si>
    <t>4.1.2.0.</t>
  </si>
  <si>
    <t>Nekustamā īpašuma nodoklis par ēkām un būvēm</t>
  </si>
  <si>
    <t>5.0.0.0.</t>
  </si>
  <si>
    <t>Nodokļi par pakalpojumiem un precēm</t>
  </si>
  <si>
    <t>9.0.0.0.</t>
  </si>
  <si>
    <t>Valsts (pašvaldību) nodevas un maksājumi (9.1.2.0+9.4.0.0.+9.5.0.0.+9.6.0.0.)</t>
  </si>
  <si>
    <t>10.0.0.0.</t>
  </si>
  <si>
    <t>Sodi un sankcijas</t>
  </si>
  <si>
    <t>12.0.0.0.</t>
  </si>
  <si>
    <t>Pārējie nenodokļu ieņēmumi</t>
  </si>
  <si>
    <t>13.0.0.0.</t>
  </si>
  <si>
    <t>Ieņēmumi no valsts (pašvaldības) nekustamā īpašuma pārdošanas un no nodokļu pamatparāda kapitalizācijas</t>
  </si>
  <si>
    <t>18.0.0.0.</t>
  </si>
  <si>
    <t>18.6.1.0.</t>
  </si>
  <si>
    <t>Dotācijas un citi transferti pašvaldību budžetiem</t>
  </si>
  <si>
    <t>18.6.2.0.</t>
  </si>
  <si>
    <t>18.6.2.1.</t>
  </si>
  <si>
    <t xml:space="preserve">Mērķdotācijas izglītības pasākumiem </t>
  </si>
  <si>
    <t>18.6.2.2.</t>
  </si>
  <si>
    <t>Mērķdotācijas kultūras pasākumiem</t>
  </si>
  <si>
    <t>18.6.2.4.</t>
  </si>
  <si>
    <t xml:space="preserve">Mērķdotācijas pašvaldību pamata, vispārējās vidējās izglītības, profesionālās izglītības, speciālās izglītības iestāžu, un daļējai interešu izglītības programmu pedagogu darba samaksai un valsts sociālās apdrošināšanas obligātajām iemaksām </t>
  </si>
  <si>
    <t>18.6.2.5.</t>
  </si>
  <si>
    <t xml:space="preserve">Mērķdotācijas pašvaldību izglītības iestāžu piecgadīgo un sešgadīgo bērnu apmācības pedagogu darba samaksai un valsts sociālās apdrošināšanas obligātajām iemaksām </t>
  </si>
  <si>
    <t>18.6.2.9.</t>
  </si>
  <si>
    <t>Pārējas mērķdotācijas</t>
  </si>
  <si>
    <t>18.6.4.0.</t>
  </si>
  <si>
    <t>Ieņēmumi no pašvaldību finanšu izlīdzināšanas fonda</t>
  </si>
  <si>
    <t>18.6.9.0.</t>
  </si>
  <si>
    <t>18.7.0.0.</t>
  </si>
  <si>
    <t>19.2.0.0.</t>
  </si>
  <si>
    <t>Ieņēmumi pašvaldību budžetā no citām pašvaldībām</t>
  </si>
  <si>
    <t>21.3.0.0.</t>
  </si>
  <si>
    <t>Ieņēmumi no budžeta iestāžu sniegtajiem maksas pakalpojumiem un citi pašu ieņēmumi</t>
  </si>
  <si>
    <t>VII    Izdevumi atbilstoši funkcionālajām kategorijām</t>
  </si>
  <si>
    <t>Pašvaldības  teritoriju un mājokļu apsaimniekosana</t>
  </si>
  <si>
    <t xml:space="preserve">X Finansēšana </t>
  </si>
  <si>
    <t xml:space="preserve">Iekšējā finansēšana </t>
  </si>
  <si>
    <t>No citām tā paša līmeņa valsts pārvaldes struktūrām</t>
  </si>
  <si>
    <t>No citiem valsts pārvaldes līmeņiem (Valsts kases)</t>
  </si>
  <si>
    <t>Naudas līdzekļi  (atlikuma izmaiņas)</t>
  </si>
  <si>
    <t>4.pielikums</t>
  </si>
  <si>
    <t>Daugavpils  pilsētas  pašvaldības 2007.gada  pamatbudžeta                                           finansēšanas   atšifrējums</t>
  </si>
  <si>
    <t>I    Iekšējā finansēšana</t>
  </si>
  <si>
    <t>1.  No citām pārvaldes struktūrām</t>
  </si>
  <si>
    <t>No citiem valsts pārvaldes līmeņiem (Valsts kases)                                                              Aizdevuma atmaksa:</t>
  </si>
  <si>
    <t>Ūdensapgāde un kanalizācija</t>
  </si>
  <si>
    <t>Sociālās aprūpes un rehabilitācijas dienas centra rekonstrukcija</t>
  </si>
  <si>
    <t>Budžeta līdzekļu atlikums gada sākumā, tai skaitā:</t>
  </si>
  <si>
    <t>Naudas līdzekļu atlikumi Domes norēķinu centrā, tai skaitā:</t>
  </si>
  <si>
    <t>maksas pakalpojumu un citu pašu ieņēmumu naudas līdzekļu atlikumi</t>
  </si>
  <si>
    <t>projektu naudas līdzekļu atlikumi</t>
  </si>
  <si>
    <t>3.  No komercbankām</t>
  </si>
  <si>
    <t xml:space="preserve">   t.sk. aizdevumu atmaksas (komercbankām)</t>
  </si>
  <si>
    <t>Domes priekšsēdētāja                                                                                           R.Strode</t>
  </si>
  <si>
    <t>5.pielikums</t>
  </si>
  <si>
    <t>Daugavpils pilsētas 2007.gada pašvaldības ilgtermiņa saistības (latos)</t>
  </si>
  <si>
    <t xml:space="preserve">                                                 Aizņēmumi</t>
  </si>
  <si>
    <t xml:space="preserve">                                                                                                                                                                            Galvojumi</t>
  </si>
  <si>
    <t xml:space="preserve">                                                            Citas saistības</t>
  </si>
  <si>
    <t xml:space="preserve">Gads     </t>
  </si>
  <si>
    <t xml:space="preserve">A/S "Hansabanka"    Siltumtīklu pamatkapitāla palielināšna                                Ls 2 300 000                                                    </t>
  </si>
  <si>
    <t>Kopā aizņēmumi</t>
  </si>
  <si>
    <t xml:space="preserve">LR FM VK      Daugavpils ūdensapgāde un kanalizācija  Ls 3 140 780,68                                                        </t>
  </si>
  <si>
    <t xml:space="preserve"> NEFCO        Daugavpils ūdensapgāde un kanalizācija                                                                                                                                 EUR 1 574 000,  Ls 882 787                              </t>
  </si>
  <si>
    <t xml:space="preserve">A/S "Hansabanka"        Galvojums J.Šiļinai studējošā kredīta saņemšanai Ls 2 700 </t>
  </si>
  <si>
    <t>A/S"Parekss-banka"            Galvojums D.Požarickai studējošā kredīta saņemšanai                      Ls 1 200</t>
  </si>
  <si>
    <t>A/S "Parekss-banka" Galvojums M.Patrinam  studējošā kredīta saņemšanai Ls 2 600</t>
  </si>
  <si>
    <t xml:space="preserve">A/S "Hansabanka"   AS "Daugavpils siltumtīkli", parāda saistību             A/S "Latvijas Gāze" dzēšana,           Ls 2 000 000                                  </t>
  </si>
  <si>
    <t xml:space="preserve">A/S "Parekss - banka"    SIA" Daugavpils dzīvokļu un komunālās saimniecības uzņēmums" bērnu spēļu laukumu labiekārtošana un dzelzceļnieku parka rekonstrukcija,     Ls 563 200               </t>
  </si>
  <si>
    <t xml:space="preserve">A/S "Parekss - banka"              PSIA" Daugavpils ledus halle" , hokeja internātskolas  remonts un iekārtošana,   Ls 200 000                                           </t>
  </si>
  <si>
    <t xml:space="preserve">A/S "Parekss - banka"  Daugavpils izglītības pārvalde, atpūtas nometnes "Dzintariņš" rekonstrukcija,         Ls 200 000                                                     </t>
  </si>
  <si>
    <t>Kopā  galvojumi</t>
  </si>
  <si>
    <t>Gads</t>
  </si>
  <si>
    <t xml:space="preserve">Pašvaldības budžeta līdzekļi   PSIA "Daugavpils ūdens" , pašvaldības līdzfinansējums Daugavpils ūdenssaimniecības attīstības projektā                                                                       EUR 1 963 541                                          </t>
  </si>
  <si>
    <t>Daugavpils pilsētas Izglītības pārvaldes  autobusa iegāde līzingā Ls 105322</t>
  </si>
  <si>
    <t>Ielu apgaismojuma tīklu iegāde no A/s "Latvenergo"   Ls 198519</t>
  </si>
  <si>
    <t xml:space="preserve">A/S "Parekss - banka"     Autobusu iegāde                 EUR 6 000 000                                                                                                                           </t>
  </si>
  <si>
    <t>Kopā  citas saistības</t>
  </si>
  <si>
    <t>Pavisam kopā Daugavpils pilsētas pašvaldības ilgtermiņa saistības</t>
  </si>
  <si>
    <t xml:space="preserve">Saistību apjoms pret pamatbudžeta ieņēmumiem (bez mērķdotācijām)*              </t>
  </si>
  <si>
    <t>* ieņēmumi Ls 27 437 814</t>
  </si>
  <si>
    <t xml:space="preserve">A/S "LatvijasKrājbanka"         Infrastruktūras objektu sakārtošanas programma          Ls 1 000 000                                                        </t>
  </si>
  <si>
    <t>LR FM VK          Sociālās aprūpes un rehabilitācijas dienas centra rekonstrukcija       Ls  114 900</t>
  </si>
  <si>
    <t>LR FM VK          Kohēzijas fonda projekta 'Ūdenssaimniecības attīstība Daugavpilī ,II kārta, Latvijā" līdzfinasējuma nodrošināšanai     Ls 315 450</t>
  </si>
  <si>
    <t xml:space="preserve">LR FM VK   K/T "Renesance" rekonstrukcija                                                                                                       Ls 150 000    </t>
  </si>
  <si>
    <t xml:space="preserve">LR FM VK      Daugavpils ūdensapgāde un kanalizācija                              Ls 400 000                                                       </t>
  </si>
  <si>
    <t xml:space="preserve">A/S "Parekss-banka"           īstermiņa saistību pārkreditēšanai                          Ls 3 400 000                 </t>
  </si>
  <si>
    <t>LR FM VK           Pilsētas ielu  rekonstrukcija                                     Ls 1 515 253</t>
  </si>
  <si>
    <t>LR FM VK      Kohēzijas fonda projekta "Sadzīves atkritumu apsaimniekošana Dienvidlatgales reģionā" līdzfinansējuma nodrošināšanai             Ls  127 552</t>
  </si>
  <si>
    <t>LR FM VK Galvotais aizņēmums SIA "AADSO"                                                      Ls 739 880</t>
  </si>
  <si>
    <t xml:space="preserve"> II  Nodokļu un nenodokļu ieņēmumi (III+IV)</t>
  </si>
  <si>
    <t>VI   Budžeta iestāžu ieņēmumi</t>
  </si>
  <si>
    <t>VIII Ieņēmumu pārsniegums (+) vai deficīts(-)  (I-VII)</t>
  </si>
  <si>
    <t>Valsts budžeta iestāžu kapitālo izdevumu transferti pašvaldību pamatbudžetā</t>
  </si>
  <si>
    <t>Pārējie valsts budžeta iestāžu uzturēšanas izdevumu transferti pašvaldībām</t>
  </si>
  <si>
    <t>Mērķdotācijas dažādām pašvaldību funkcijām</t>
  </si>
  <si>
    <r>
      <t xml:space="preserve">Daugavpils pilsētas domes komunālās saimniecības nodaļa </t>
    </r>
    <r>
      <rPr>
        <i/>
        <sz val="8"/>
        <rFont val="Times New Roman Baltic"/>
        <family val="1"/>
      </rPr>
      <t>(zaļumstādījumu atjaunošana)</t>
    </r>
  </si>
  <si>
    <t>Domes 2007.gada 22.marta</t>
  </si>
  <si>
    <t>Grozījumi</t>
  </si>
  <si>
    <t>Precizēts 2007.gada budžets                    /Ls/</t>
  </si>
  <si>
    <t>Apstiprināts 2007.gada budžets                    /Ls/</t>
  </si>
  <si>
    <r>
      <t>SIA "Daugavpils Autobusu parks"</t>
    </r>
    <r>
      <rPr>
        <sz val="8"/>
        <rFont val="Times New Roman Baltic"/>
        <family val="1"/>
      </rPr>
      <t xml:space="preserve"> (transporta kompensācijas skolēniem 50% apmērā)</t>
    </r>
  </si>
  <si>
    <r>
      <t>A/S "Tramvaju uzņēmums"</t>
    </r>
    <r>
      <rPr>
        <sz val="8"/>
        <rFont val="Times New Roman Baltic"/>
        <family val="1"/>
      </rPr>
      <t xml:space="preserve"> (transporta kompensācijas skolēniem 50% apmērā)</t>
    </r>
  </si>
  <si>
    <t xml:space="preserve"> Apstiprināts 2007.gada budžets           /Ls/</t>
  </si>
  <si>
    <t xml:space="preserve"> Precizēts  2007.gada budžets           /Ls/</t>
  </si>
  <si>
    <t>Apstiprināts  2007.gada budžets        /Ls/</t>
  </si>
  <si>
    <t>Precizēts  2007.gada budžets        /Ls/</t>
  </si>
  <si>
    <t>Projekts "Pētījums "No ieslodzījuma atbrīvoto Daugavpils iedzīvotāju iespējas darba tirgū Austrumlatgalē""</t>
  </si>
  <si>
    <t>Projekts "Jaunas telpiskās attīstības zonas izveide Latvijas un Krievijas pierobežā, izmantojot divu valstu transportģeogrāfiskā novietojuma potenciālu (Attālinātās Pieejas / Remote Access"</t>
  </si>
  <si>
    <t>18.8.0.0.</t>
  </si>
  <si>
    <t>(ieņēmumu sadalījums pa speciālā budžeta veidiem)</t>
  </si>
  <si>
    <t>(izdevumu sadalījums pa speciālā budžeta veidiem)</t>
  </si>
  <si>
    <t>IV Ieņēmumu pārsniegums (+) vai deficīts (-)   (I-II)</t>
  </si>
  <si>
    <t xml:space="preserve">Apstiprināts    2007.gada budžets             /Ls/ </t>
  </si>
  <si>
    <t xml:space="preserve">Precizēts   2007.gada budžets             /Ls/ </t>
  </si>
  <si>
    <t>Biedrība  "Speedway Gran Prix of Latvia" SK "Lokomotīve"</t>
  </si>
  <si>
    <t xml:space="preserve">Biedrība  "Speedway Gran Prix Latvia" </t>
  </si>
  <si>
    <t>09.200</t>
  </si>
  <si>
    <t>LR Izglītības un zinātnes ministrijas Daugavpils Medicīnas koledžai</t>
  </si>
  <si>
    <t>Pašvaldībai piekrītošo zemes gabalu uzturēšanas izdevumu apmaksa</t>
  </si>
  <si>
    <t>Daugavpils pilsētas pašvaldības 2007.gada speciālais budžets                                                                             (neieskaitot ziedojumus un dāvinājumus)</t>
  </si>
  <si>
    <t>Apstiprināts   2007.gada budžets             /Ls/</t>
  </si>
  <si>
    <t>Precizēts   2007.gada budžets             /Ls/</t>
  </si>
  <si>
    <t>Daugavpils pirmā Vecticībnieku (Jaunbūves) draudze</t>
  </si>
  <si>
    <t>Svēto mocekļu Borisa un Gļeba Daugavpils pareizticīgo draudze</t>
  </si>
  <si>
    <t>Daugavpils Universitātes Studentu deju ansamblis "Laima"</t>
  </si>
  <si>
    <t>08.600</t>
  </si>
  <si>
    <t>Dalības lecence konkursā "Mister World 2007"</t>
  </si>
  <si>
    <t>Domes 2007.gada  22.marta</t>
  </si>
  <si>
    <t>Apstiprināts   2007.gada budžets            /Ls/</t>
  </si>
  <si>
    <t>Precizēts   2007.gada budžets            /Ls/</t>
  </si>
  <si>
    <t>Daugavpils pilsētas pašvaldības 2007.gada speciālā budžeta                                                                                   ziedojumi un dāvinājumi</t>
  </si>
  <si>
    <t>Daugavpils pilsētas pašvaldības 2007.gada speciālā budžeta ziedojumu un dāvinājumu izdevumu atšifrējums</t>
  </si>
  <si>
    <t>Precizēts     2007.gada budžets             /Ls/</t>
  </si>
  <si>
    <t>Apstiprināts   2007.gada budžets                /Ls/</t>
  </si>
  <si>
    <t>Precizēts  2007.gada budžets                /Ls/</t>
  </si>
  <si>
    <t>Ieņēmumi pašvaldību budžetā Eiropas Savienības struktūrfondu finansēto projektu īstenošanai</t>
  </si>
  <si>
    <t>Valsts budžeta transferti (18.6.+18.7.+18.8)</t>
  </si>
  <si>
    <r>
      <t xml:space="preserve"> V  Transfertu ieņēmumi </t>
    </r>
    <r>
      <rPr>
        <b/>
        <sz val="8"/>
        <rFont val="Times New Roman Baltic"/>
        <family val="1"/>
      </rPr>
      <t xml:space="preserve"> (18.0.+ 19.2.)</t>
    </r>
  </si>
  <si>
    <r>
      <t xml:space="preserve">IV  Nenodokļu ieņēmumi </t>
    </r>
    <r>
      <rPr>
        <b/>
        <sz val="8"/>
        <rFont val="Times New Roman Baltic"/>
        <family val="1"/>
      </rPr>
      <t>(9.0.+10.0.+12.0.+13.0.)</t>
    </r>
  </si>
  <si>
    <r>
      <t xml:space="preserve">III  Nodokļu ieņēmumi </t>
    </r>
    <r>
      <rPr>
        <b/>
        <sz val="8"/>
        <rFont val="Times New Roman Baltic"/>
        <family val="1"/>
      </rPr>
      <t>(1.1.+4.0.+5.0.)</t>
    </r>
  </si>
  <si>
    <r>
      <t xml:space="preserve">I Ieņēmumi kopā </t>
    </r>
    <r>
      <rPr>
        <b/>
        <sz val="10"/>
        <rFont val="Times New Roman Baltic"/>
        <family val="1"/>
      </rPr>
      <t>(II+V+VI)</t>
    </r>
  </si>
  <si>
    <r>
      <t>Pašvaldības kopbudžeta izdevumi kopā</t>
    </r>
    <r>
      <rPr>
        <b/>
        <sz val="9"/>
        <rFont val="Times New Roman Baltic"/>
        <family val="1"/>
      </rPr>
      <t xml:space="preserve"> (VI+VII+VIII+IX)</t>
    </r>
  </si>
  <si>
    <t>Sporta centrs "Daugavpils ledus"</t>
  </si>
  <si>
    <t>Naudas līdzekļu atlikums uz 01.03.07.g. t.sk.:</t>
  </si>
  <si>
    <t>Naudas līdzekļu atlikums uz 01.01.07.g. t.sk.:</t>
  </si>
  <si>
    <t xml:space="preserve">Naudas līdzekļu atlikums uz 01.03.07.g. </t>
  </si>
  <si>
    <r>
      <t>Nekustamo īpašumu iegāde</t>
    </r>
    <r>
      <rPr>
        <b/>
        <sz val="9"/>
        <rFont val="Times New Roman Baltic"/>
        <family val="1"/>
      </rPr>
      <t xml:space="preserve"> </t>
    </r>
    <r>
      <rPr>
        <i/>
        <sz val="9"/>
        <rFont val="Times New Roman Baltic"/>
        <family val="1"/>
      </rPr>
      <t>(Daugavpilī, Višķu ielā 7 un Višķu ielā 12; Daugavpilī, Arodu un Jelgavas ielu stūrī)</t>
    </r>
  </si>
  <si>
    <t>Dotācija no vispārējiem ieņēmumiem, t.sk:</t>
  </si>
  <si>
    <t>Sadalītie līdzekļi projektu realizācijai</t>
  </si>
  <si>
    <t>Atjaunotie līdzekļi projektu realzicāijai</t>
  </si>
  <si>
    <t>Atjaunoti līdzekļi projektu realizācijai</t>
  </si>
  <si>
    <t>saistošajiem noteikumiem Nr.13</t>
  </si>
  <si>
    <t>(protokols Nr.6  20.&amp;)</t>
  </si>
  <si>
    <t>kinoteātra "Renesanse" rekonstrukcija</t>
  </si>
  <si>
    <t>2.  Naudas līdzekļi (atlikuma izmaiņas)</t>
  </si>
  <si>
    <t>Naudas līdzekļu atlikumi Valsts kases norēķinu centrā</t>
  </si>
  <si>
    <t>no vispārējiem pašvaldības budžeta ieņēmumiem</t>
  </si>
  <si>
    <t xml:space="preserve">      A/s "Hansabanka" - a/s "Daugavpils siltumtīkli" pamatkapitāla palielināšana</t>
  </si>
  <si>
    <t xml:space="preserve">      A/s "Latvijas Krājbanka" -  Infrastruktūras attīstības programma</t>
  </si>
  <si>
    <t xml:space="preserve">      A/s "Parekss banka" - Īstermiņa saistību pārkreditēšana</t>
  </si>
  <si>
    <t xml:space="preserve">      A/s "Parekss banka"  - atpūtas nometnes "Dzintariņš" rekonstrukcija</t>
  </si>
  <si>
    <t>Pašvaldības  SIA "Daugavpils Ledus Halle"</t>
  </si>
  <si>
    <r>
      <t>Sabiedrisko organizāciju atbalsta fonds (</t>
    </r>
    <r>
      <rPr>
        <i/>
        <sz val="8"/>
        <rFont val="Times New Roman Baltic"/>
        <family val="1"/>
      </rPr>
      <t>apropriācijas sadalījumu nosaka Izglītības un kultūras jautājumu komiteja</t>
    </r>
    <r>
      <rPr>
        <sz val="8"/>
        <rFont val="Times New Roman Baltic"/>
        <family val="1"/>
      </rPr>
      <t>)</t>
    </r>
  </si>
  <si>
    <t>Kabatas nauda skolas vecuma bāreņiem un bez vecāku gādības palikušiem bērniem, kuri  ievietoti audzināšanas iestādēs (arī internātskolās)</t>
  </si>
  <si>
    <t>III  Ieņēmumu pārsniegums (+) vai deficīts (-)      (I-II)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</si>
</sst>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0.000"/>
  </numFmts>
  <fonts count="29">
    <font>
      <sz val="10"/>
      <name val="Arial"/>
      <family val="0"/>
    </font>
    <font>
      <sz val="10"/>
      <name val="Times New Roman Baltic"/>
      <family val="1"/>
    </font>
    <font>
      <b/>
      <sz val="8"/>
      <name val="Times New Roman Baltic"/>
      <family val="1"/>
    </font>
    <font>
      <sz val="8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1"/>
    </font>
    <font>
      <b/>
      <u val="single"/>
      <sz val="9"/>
      <name val="Times New Roman Baltic"/>
      <family val="1"/>
    </font>
    <font>
      <b/>
      <u val="single"/>
      <sz val="8"/>
      <name val="Times New Roman Baltic"/>
      <family val="1"/>
    </font>
    <font>
      <i/>
      <sz val="8"/>
      <name val="Times New Roman Baltic"/>
      <family val="1"/>
    </font>
    <font>
      <sz val="8"/>
      <name val="Arial"/>
      <family val="0"/>
    </font>
    <font>
      <sz val="7"/>
      <name val="Times New Roman Baltic"/>
      <family val="1"/>
    </font>
    <font>
      <sz val="9"/>
      <name val="Arial"/>
      <family val="0"/>
    </font>
    <font>
      <u val="single"/>
      <sz val="9"/>
      <name val="Times New Roman Baltic"/>
      <family val="1"/>
    </font>
    <font>
      <i/>
      <sz val="9"/>
      <name val="Times New Roman Baltic"/>
      <family val="1"/>
    </font>
    <font>
      <sz val="8"/>
      <color indexed="9"/>
      <name val="Times New Roman Baltic"/>
      <family val="1"/>
    </font>
    <font>
      <sz val="8"/>
      <color indexed="10"/>
      <name val="Times New Roman Baltic"/>
      <family val="1"/>
    </font>
    <font>
      <b/>
      <i/>
      <sz val="8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i/>
      <sz val="7"/>
      <name val="Times New Roman Baltic"/>
      <family val="1"/>
    </font>
    <font>
      <i/>
      <sz val="12"/>
      <name val="Times New Roman Baltic"/>
      <family val="1"/>
    </font>
    <font>
      <u val="single"/>
      <sz val="8"/>
      <name val="Times New Roman Baltic"/>
      <family val="1"/>
    </font>
    <font>
      <sz val="12"/>
      <name val="Times New Roman Baltic"/>
      <family val="1"/>
    </font>
    <font>
      <b/>
      <sz val="8"/>
      <color indexed="10"/>
      <name val="Times New Roman Baltic"/>
      <family val="1"/>
    </font>
    <font>
      <sz val="9"/>
      <color indexed="10"/>
      <name val="Times New Roman Baltic"/>
      <family val="1"/>
    </font>
    <font>
      <b/>
      <sz val="7"/>
      <name val="Times New Roman Baltic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2" fontId="6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8" fillId="3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 quotePrefix="1">
      <alignment horizontal="right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 quotePrefix="1">
      <alignment horizontal="right" vertical="center" wrapText="1"/>
    </xf>
    <xf numFmtId="0" fontId="7" fillId="2" borderId="0" xfId="0" applyFont="1" applyFill="1" applyAlignment="1" quotePrefix="1">
      <alignment horizontal="right"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 quotePrefix="1">
      <alignment horizontal="right"/>
    </xf>
    <xf numFmtId="49" fontId="3" fillId="0" borderId="0" xfId="0" applyNumberFormat="1" applyFont="1" applyAlignment="1" quotePrefix="1">
      <alignment horizontal="right" vertical="center"/>
    </xf>
    <xf numFmtId="0" fontId="1" fillId="0" borderId="0" xfId="0" applyFont="1" applyAlignment="1" quotePrefix="1">
      <alignment horizontal="right"/>
    </xf>
    <xf numFmtId="0" fontId="8" fillId="3" borderId="0" xfId="0" applyFont="1" applyFill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2" borderId="0" xfId="0" applyFont="1" applyFill="1" applyAlignment="1" quotePrefix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5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 textRotation="90" wrapText="1"/>
    </xf>
    <xf numFmtId="0" fontId="13" fillId="4" borderId="6" xfId="0" applyNumberFormat="1" applyFont="1" applyFill="1" applyBorder="1" applyAlignment="1">
      <alignment horizontal="center" vertical="center" textRotation="90" wrapText="1"/>
    </xf>
    <xf numFmtId="0" fontId="13" fillId="4" borderId="6" xfId="0" applyFont="1" applyFill="1" applyBorder="1" applyAlignment="1">
      <alignment horizontal="center" vertical="center" textRotation="90" wrapText="1"/>
    </xf>
    <xf numFmtId="0" fontId="28" fillId="4" borderId="6" xfId="0" applyFont="1" applyFill="1" applyBorder="1" applyAlignment="1">
      <alignment horizontal="center" vertical="center" textRotation="90" wrapText="1"/>
    </xf>
    <xf numFmtId="2" fontId="13" fillId="4" borderId="6" xfId="0" applyNumberFormat="1" applyFont="1" applyFill="1" applyBorder="1" applyAlignment="1">
      <alignment horizontal="center" vertical="center" textRotation="90" wrapText="1"/>
    </xf>
    <xf numFmtId="1" fontId="2" fillId="4" borderId="7" xfId="0" applyNumberFormat="1" applyFont="1" applyFill="1" applyBorder="1" applyAlignment="1">
      <alignment horizontal="center" vertical="center" textRotation="90" wrapText="1"/>
    </xf>
    <xf numFmtId="0" fontId="28" fillId="4" borderId="8" xfId="0" applyFont="1" applyFill="1" applyBorder="1" applyAlignment="1">
      <alignment horizontal="center" vertical="center" textRotation="90" wrapText="1"/>
    </xf>
    <xf numFmtId="0" fontId="28" fillId="4" borderId="1" xfId="0" applyFont="1" applyFill="1" applyBorder="1" applyAlignment="1">
      <alignment horizontal="center" vertical="center" textRotation="90" wrapText="1"/>
    </xf>
    <xf numFmtId="1" fontId="28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center"/>
    </xf>
    <xf numFmtId="4" fontId="28" fillId="4" borderId="1" xfId="0" applyNumberFormat="1" applyFont="1" applyFill="1" applyBorder="1" applyAlignment="1">
      <alignment horizontal="center" vertical="center"/>
    </xf>
    <xf numFmtId="1" fontId="28" fillId="4" borderId="9" xfId="0" applyNumberFormat="1" applyFont="1" applyFill="1" applyBorder="1" applyAlignment="1">
      <alignment horizontal="center"/>
    </xf>
    <xf numFmtId="3" fontId="13" fillId="4" borderId="10" xfId="0" applyNumberFormat="1" applyFont="1" applyFill="1" applyBorder="1" applyAlignment="1">
      <alignment horizontal="center"/>
    </xf>
    <xf numFmtId="3" fontId="28" fillId="4" borderId="10" xfId="0" applyNumberFormat="1" applyFont="1" applyFill="1" applyBorder="1" applyAlignment="1">
      <alignment horizontal="center"/>
    </xf>
    <xf numFmtId="3" fontId="28" fillId="4" borderId="9" xfId="0" applyNumberFormat="1" applyFont="1" applyFill="1" applyBorder="1" applyAlignment="1">
      <alignment horizontal="center"/>
    </xf>
    <xf numFmtId="3" fontId="28" fillId="4" borderId="2" xfId="0" applyNumberFormat="1" applyFont="1" applyFill="1" applyBorder="1" applyAlignment="1">
      <alignment horizontal="center"/>
    </xf>
    <xf numFmtId="3" fontId="28" fillId="4" borderId="5" xfId="0" applyNumberFormat="1" applyFont="1" applyFill="1" applyBorder="1" applyAlignment="1">
      <alignment horizontal="center"/>
    </xf>
    <xf numFmtId="3" fontId="28" fillId="4" borderId="4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3" fillId="4" borderId="5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25" fillId="0" borderId="0" xfId="0" applyNumberFormat="1" applyFont="1" applyAlignment="1">
      <alignment/>
    </xf>
    <xf numFmtId="3" fontId="3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left"/>
    </xf>
    <xf numFmtId="0" fontId="9" fillId="0" borderId="0" xfId="0" applyFont="1" applyAlignment="1" quotePrefix="1">
      <alignment horizontal="right" vertical="center" wrapText="1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3" fontId="8" fillId="5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right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ina307\Local%20Settings\Temporary%20Internet%20Files\Content.IE5\A3S3TAR6\BUDZ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iel."/>
      <sheetName val="2.piel."/>
      <sheetName val="4.piel."/>
      <sheetName val="5 piel."/>
    </sheetNames>
    <sheetDataSet>
      <sheetData sheetId="1">
        <row r="8">
          <cell r="H8">
            <v>39792240</v>
          </cell>
        </row>
        <row r="80">
          <cell r="H80">
            <v>40695050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workbookViewId="0" topLeftCell="A1">
      <selection activeCell="G4" sqref="G4"/>
    </sheetView>
  </sheetViews>
  <sheetFormatPr defaultColWidth="9.140625" defaultRowHeight="12.75"/>
  <cols>
    <col min="1" max="1" width="5.8515625" style="1" customWidth="1"/>
    <col min="2" max="2" width="4.8515625" style="1" customWidth="1"/>
    <col min="3" max="3" width="4.28125" style="1" customWidth="1"/>
    <col min="4" max="5" width="9.140625" style="1" customWidth="1"/>
    <col min="6" max="6" width="9.57421875" style="1" customWidth="1"/>
    <col min="7" max="7" width="12.8515625" style="1" customWidth="1"/>
    <col min="8" max="8" width="13.00390625" style="189" customWidth="1"/>
    <col min="9" max="9" width="12.421875" style="189" customWidth="1"/>
    <col min="10" max="10" width="13.57421875" style="189" customWidth="1"/>
    <col min="11" max="16384" width="9.140625" style="1" customWidth="1"/>
  </cols>
  <sheetData>
    <row r="1" spans="8:10" s="26" customFormat="1" ht="11.25">
      <c r="H1" s="2"/>
      <c r="I1" s="2" t="s">
        <v>304</v>
      </c>
      <c r="J1" s="2"/>
    </row>
    <row r="2" spans="3:10" s="26" customFormat="1" ht="12.75" customHeight="1">
      <c r="C2" s="20"/>
      <c r="H2" s="28"/>
      <c r="I2" s="28" t="s">
        <v>439</v>
      </c>
      <c r="J2" s="28"/>
    </row>
    <row r="3" spans="8:10" s="26" customFormat="1" ht="11.25">
      <c r="H3" s="28"/>
      <c r="I3" s="28" t="s">
        <v>494</v>
      </c>
      <c r="J3" s="28"/>
    </row>
    <row r="4" spans="2:10" s="26" customFormat="1" ht="11.25">
      <c r="B4" s="20"/>
      <c r="H4" s="28"/>
      <c r="I4" s="28" t="s">
        <v>495</v>
      </c>
      <c r="J4" s="28"/>
    </row>
    <row r="5" spans="2:10" s="26" customFormat="1" ht="11.25">
      <c r="B5" s="20"/>
      <c r="H5" s="25"/>
      <c r="I5" s="25"/>
      <c r="J5" s="25"/>
    </row>
    <row r="6" spans="2:9" s="182" customFormat="1" ht="15.75">
      <c r="B6" s="320" t="s">
        <v>305</v>
      </c>
      <c r="C6" s="320"/>
      <c r="D6" s="320"/>
      <c r="E6" s="320"/>
      <c r="F6" s="320"/>
      <c r="G6" s="320"/>
      <c r="H6" s="320"/>
      <c r="I6" s="320"/>
    </row>
    <row r="7" spans="2:10" s="26" customFormat="1" ht="13.5" customHeight="1">
      <c r="B7" s="20"/>
      <c r="H7" s="25"/>
      <c r="I7" s="25"/>
      <c r="J7" s="25"/>
    </row>
    <row r="8" spans="2:10" s="184" customFormat="1" ht="55.5" customHeight="1">
      <c r="B8" s="315" t="s">
        <v>2</v>
      </c>
      <c r="C8" s="316"/>
      <c r="D8" s="316"/>
      <c r="E8" s="316"/>
      <c r="F8" s="316"/>
      <c r="G8" s="317"/>
      <c r="H8" s="131" t="s">
        <v>445</v>
      </c>
      <c r="I8" s="131" t="s">
        <v>440</v>
      </c>
      <c r="J8" s="131" t="s">
        <v>446</v>
      </c>
    </row>
    <row r="9" spans="8:10" ht="12.75">
      <c r="H9" s="4"/>
      <c r="I9" s="4"/>
      <c r="J9" s="4"/>
    </row>
    <row r="10" spans="2:10" s="91" customFormat="1" ht="12.75">
      <c r="B10" s="185" t="s">
        <v>306</v>
      </c>
      <c r="C10" s="318" t="s">
        <v>307</v>
      </c>
      <c r="D10" s="318"/>
      <c r="E10" s="318"/>
      <c r="F10" s="318"/>
      <c r="G10" s="318"/>
      <c r="H10" s="161">
        <f>H12+H22+H32</f>
        <v>42075159</v>
      </c>
      <c r="I10" s="161">
        <f>I12+I22+I32</f>
        <v>1452766</v>
      </c>
      <c r="J10" s="161">
        <f>J12+J22+J32</f>
        <v>43527925</v>
      </c>
    </row>
    <row r="11" spans="8:10" ht="12.75">
      <c r="H11" s="4"/>
      <c r="I11" s="4"/>
      <c r="J11" s="4"/>
    </row>
    <row r="12" spans="2:10" s="17" customFormat="1" ht="12">
      <c r="B12" s="186" t="s">
        <v>308</v>
      </c>
      <c r="C12" s="319" t="s">
        <v>309</v>
      </c>
      <c r="D12" s="319"/>
      <c r="E12" s="319"/>
      <c r="F12" s="319"/>
      <c r="G12" s="319"/>
      <c r="H12" s="19">
        <f>H14+H16+H18+H20</f>
        <v>39792240</v>
      </c>
      <c r="I12" s="19">
        <f>I14+I16+I18+I20</f>
        <v>1445266</v>
      </c>
      <c r="J12" s="19">
        <f>J14+J16+J18+J20</f>
        <v>41237506</v>
      </c>
    </row>
    <row r="13" spans="8:10" s="26" customFormat="1" ht="11.25">
      <c r="H13" s="25"/>
      <c r="I13" s="25"/>
      <c r="J13" s="25"/>
    </row>
    <row r="14" spans="3:10" s="26" customFormat="1" ht="11.25">
      <c r="C14" s="321" t="s">
        <v>310</v>
      </c>
      <c r="D14" s="321"/>
      <c r="E14" s="321"/>
      <c r="F14" s="321"/>
      <c r="G14" s="321"/>
      <c r="H14" s="25">
        <v>24354143</v>
      </c>
      <c r="I14" s="25"/>
      <c r="J14" s="25">
        <f>SUM(H14:I14)</f>
        <v>24354143</v>
      </c>
    </row>
    <row r="15" spans="8:10" s="26" customFormat="1" ht="11.25">
      <c r="H15" s="25"/>
      <c r="I15" s="25"/>
      <c r="J15" s="25"/>
    </row>
    <row r="16" spans="3:10" s="26" customFormat="1" ht="11.25">
      <c r="C16" s="321" t="s">
        <v>311</v>
      </c>
      <c r="D16" s="321"/>
      <c r="E16" s="321"/>
      <c r="F16" s="321"/>
      <c r="G16" s="321"/>
      <c r="H16" s="25">
        <v>781595</v>
      </c>
      <c r="I16" s="25"/>
      <c r="J16" s="25">
        <f>SUM(H16:I16)</f>
        <v>781595</v>
      </c>
    </row>
    <row r="17" spans="8:10" s="26" customFormat="1" ht="11.25">
      <c r="H17" s="25"/>
      <c r="I17" s="25"/>
      <c r="J17" s="25"/>
    </row>
    <row r="18" spans="3:10" s="26" customFormat="1" ht="11.25">
      <c r="C18" s="321" t="s">
        <v>312</v>
      </c>
      <c r="D18" s="321"/>
      <c r="E18" s="321"/>
      <c r="F18" s="321"/>
      <c r="G18" s="321"/>
      <c r="H18" s="25">
        <v>12981532</v>
      </c>
      <c r="I18" s="25">
        <f>1445266</f>
        <v>1445266</v>
      </c>
      <c r="J18" s="25">
        <f>SUM(H18:I18)</f>
        <v>14426798</v>
      </c>
    </row>
    <row r="19" spans="3:10" s="26" customFormat="1" ht="11.25">
      <c r="C19" s="28"/>
      <c r="D19" s="28"/>
      <c r="E19" s="28"/>
      <c r="F19" s="28"/>
      <c r="G19" s="28"/>
      <c r="H19" s="25"/>
      <c r="I19" s="25"/>
      <c r="J19" s="25"/>
    </row>
    <row r="20" spans="3:10" s="26" customFormat="1" ht="11.25">
      <c r="C20" s="321" t="s">
        <v>313</v>
      </c>
      <c r="D20" s="321"/>
      <c r="E20" s="321"/>
      <c r="F20" s="321"/>
      <c r="G20" s="321"/>
      <c r="H20" s="25">
        <v>1674970</v>
      </c>
      <c r="I20" s="25"/>
      <c r="J20" s="25">
        <f>SUM(H20:I20)</f>
        <v>1674970</v>
      </c>
    </row>
    <row r="21" spans="8:10" s="26" customFormat="1" ht="11.25">
      <c r="H21" s="25"/>
      <c r="I21" s="25"/>
      <c r="J21" s="25"/>
    </row>
    <row r="22" spans="2:10" s="46" customFormat="1" ht="30" customHeight="1">
      <c r="B22" s="187" t="s">
        <v>314</v>
      </c>
      <c r="C22" s="322" t="s">
        <v>315</v>
      </c>
      <c r="D22" s="322"/>
      <c r="E22" s="322"/>
      <c r="F22" s="322"/>
      <c r="G22" s="322"/>
      <c r="H22" s="64">
        <f>SUM(H24:H31)</f>
        <v>2279904</v>
      </c>
      <c r="I22" s="64">
        <f>SUM(I24:I31)</f>
        <v>0</v>
      </c>
      <c r="J22" s="64">
        <f>SUM(J24:J31)</f>
        <v>2279904</v>
      </c>
    </row>
    <row r="23" spans="8:10" s="26" customFormat="1" ht="11.25">
      <c r="H23" s="25"/>
      <c r="I23" s="25"/>
      <c r="J23" s="25"/>
    </row>
    <row r="24" spans="3:10" s="26" customFormat="1" ht="11.25">
      <c r="C24" s="321" t="s">
        <v>221</v>
      </c>
      <c r="D24" s="321"/>
      <c r="E24" s="321"/>
      <c r="F24" s="321"/>
      <c r="G24" s="321"/>
      <c r="H24" s="25">
        <f>135976+340</f>
        <v>136316</v>
      </c>
      <c r="I24" s="25"/>
      <c r="J24" s="25">
        <f>SUM(H24:I24)</f>
        <v>136316</v>
      </c>
    </row>
    <row r="25" spans="8:10" s="26" customFormat="1" ht="11.25">
      <c r="H25" s="25"/>
      <c r="I25" s="25"/>
      <c r="J25" s="25"/>
    </row>
    <row r="26" spans="3:10" s="26" customFormat="1" ht="11.25">
      <c r="C26" s="321" t="s">
        <v>222</v>
      </c>
      <c r="D26" s="321"/>
      <c r="E26" s="321"/>
      <c r="F26" s="321"/>
      <c r="G26" s="321"/>
      <c r="H26" s="25">
        <v>20000</v>
      </c>
      <c r="I26" s="25"/>
      <c r="J26" s="25">
        <f>SUM(H26:I26)</f>
        <v>20000</v>
      </c>
    </row>
    <row r="27" spans="8:10" s="26" customFormat="1" ht="11.25">
      <c r="H27" s="25"/>
      <c r="I27" s="25"/>
      <c r="J27" s="25"/>
    </row>
    <row r="28" spans="3:10" s="26" customFormat="1" ht="11.25">
      <c r="C28" s="321" t="s">
        <v>223</v>
      </c>
      <c r="D28" s="321"/>
      <c r="E28" s="321"/>
      <c r="F28" s="321"/>
      <c r="G28" s="321"/>
      <c r="H28" s="25">
        <v>1992695</v>
      </c>
      <c r="I28" s="25"/>
      <c r="J28" s="25">
        <f>SUM(H28:I28)</f>
        <v>1992695</v>
      </c>
    </row>
    <row r="29" spans="8:10" s="26" customFormat="1" ht="11.25">
      <c r="H29" s="25"/>
      <c r="I29" s="25"/>
      <c r="J29" s="25"/>
    </row>
    <row r="30" spans="3:10" s="26" customFormat="1" ht="11.25">
      <c r="C30" s="26" t="s">
        <v>316</v>
      </c>
      <c r="H30" s="25">
        <v>130893</v>
      </c>
      <c r="I30" s="25"/>
      <c r="J30" s="25">
        <f>SUM(H30:I30)</f>
        <v>130893</v>
      </c>
    </row>
    <row r="31" spans="8:10" s="26" customFormat="1" ht="11.25">
      <c r="H31" s="25"/>
      <c r="I31" s="25"/>
      <c r="J31" s="25"/>
    </row>
    <row r="32" spans="2:10" s="17" customFormat="1" ht="12">
      <c r="B32" s="186" t="s">
        <v>317</v>
      </c>
      <c r="C32" s="319" t="s">
        <v>303</v>
      </c>
      <c r="D32" s="319"/>
      <c r="E32" s="319"/>
      <c r="F32" s="319"/>
      <c r="G32" s="319"/>
      <c r="H32" s="19">
        <v>3015</v>
      </c>
      <c r="I32" s="19">
        <v>7500</v>
      </c>
      <c r="J32" s="19">
        <f>SUM(H32:I32)</f>
        <v>10515</v>
      </c>
    </row>
    <row r="33" spans="8:10" s="6" customFormat="1" ht="12">
      <c r="H33" s="53"/>
      <c r="I33" s="53"/>
      <c r="J33" s="53"/>
    </row>
    <row r="34" spans="2:10" s="91" customFormat="1" ht="24" customHeight="1">
      <c r="B34" s="185" t="s">
        <v>318</v>
      </c>
      <c r="C34" s="318" t="s">
        <v>484</v>
      </c>
      <c r="D34" s="318"/>
      <c r="E34" s="318"/>
      <c r="F34" s="318"/>
      <c r="G34" s="318"/>
      <c r="H34" s="161">
        <f>H36+H38+H40+H42</f>
        <v>43361699</v>
      </c>
      <c r="I34" s="161">
        <f>I36+I38+I40+I42</f>
        <v>1452766</v>
      </c>
      <c r="J34" s="161">
        <f>J36+J38+J40+J42</f>
        <v>44814465</v>
      </c>
    </row>
    <row r="35" spans="8:10" ht="12.75">
      <c r="H35" s="4"/>
      <c r="I35" s="4"/>
      <c r="J35" s="4"/>
    </row>
    <row r="36" spans="2:10" s="17" customFormat="1" ht="12">
      <c r="B36" s="186" t="s">
        <v>319</v>
      </c>
      <c r="C36" s="319" t="s">
        <v>320</v>
      </c>
      <c r="D36" s="319"/>
      <c r="E36" s="319"/>
      <c r="F36" s="319"/>
      <c r="G36" s="319"/>
      <c r="H36" s="19">
        <v>40695050</v>
      </c>
      <c r="I36" s="19">
        <f>1445266</f>
        <v>1445266</v>
      </c>
      <c r="J36" s="19">
        <f>SUM(H36:I36)</f>
        <v>42140316</v>
      </c>
    </row>
    <row r="37" spans="8:10" ht="12.75">
      <c r="H37" s="4"/>
      <c r="I37" s="4"/>
      <c r="J37" s="4"/>
    </row>
    <row r="38" spans="2:10" s="46" customFormat="1" ht="26.25" customHeight="1">
      <c r="B38" s="187" t="s">
        <v>321</v>
      </c>
      <c r="C38" s="322" t="s">
        <v>322</v>
      </c>
      <c r="D38" s="322"/>
      <c r="E38" s="322"/>
      <c r="F38" s="322"/>
      <c r="G38" s="322"/>
      <c r="H38" s="64">
        <v>2650526</v>
      </c>
      <c r="I38" s="64"/>
      <c r="J38" s="64">
        <f>SUM(H38:I38)</f>
        <v>2650526</v>
      </c>
    </row>
    <row r="39" spans="8:10" ht="12.75">
      <c r="H39" s="4"/>
      <c r="I39" s="4"/>
      <c r="J39" s="4"/>
    </row>
    <row r="40" spans="2:10" s="17" customFormat="1" ht="12">
      <c r="B40" s="186" t="s">
        <v>323</v>
      </c>
      <c r="C40" s="319" t="s">
        <v>324</v>
      </c>
      <c r="D40" s="319"/>
      <c r="E40" s="319"/>
      <c r="F40" s="319"/>
      <c r="G40" s="319"/>
      <c r="H40" s="19">
        <v>16123</v>
      </c>
      <c r="I40" s="19">
        <v>7500</v>
      </c>
      <c r="J40" s="19">
        <f>SUM(H40:I40)</f>
        <v>23623</v>
      </c>
    </row>
    <row r="41" spans="2:10" s="17" customFormat="1" ht="12">
      <c r="B41" s="186"/>
      <c r="H41" s="19"/>
      <c r="I41" s="19"/>
      <c r="J41" s="19"/>
    </row>
    <row r="42" spans="2:10" s="17" customFormat="1" ht="12" hidden="1">
      <c r="B42" s="186" t="s">
        <v>325</v>
      </c>
      <c r="C42" s="324" t="s">
        <v>326</v>
      </c>
      <c r="D42" s="324"/>
      <c r="E42" s="324"/>
      <c r="F42" s="324"/>
      <c r="G42" s="324"/>
      <c r="H42" s="19">
        <v>0</v>
      </c>
      <c r="I42" s="19">
        <v>0</v>
      </c>
      <c r="J42" s="19">
        <v>0</v>
      </c>
    </row>
    <row r="43" spans="8:10" ht="12.75">
      <c r="H43" s="4"/>
      <c r="I43" s="4"/>
      <c r="J43" s="4"/>
    </row>
    <row r="44" spans="2:10" s="91" customFormat="1" ht="18.75" customHeight="1">
      <c r="B44" s="185" t="s">
        <v>325</v>
      </c>
      <c r="C44" s="318" t="s">
        <v>327</v>
      </c>
      <c r="D44" s="318"/>
      <c r="E44" s="318"/>
      <c r="F44" s="318"/>
      <c r="G44" s="318"/>
      <c r="H44" s="161">
        <f>H10-H34</f>
        <v>-1286540</v>
      </c>
      <c r="I44" s="161">
        <f>I10-I34</f>
        <v>0</v>
      </c>
      <c r="J44" s="161">
        <f>J10-J34</f>
        <v>-1286540</v>
      </c>
    </row>
    <row r="45" spans="8:10" ht="12.75">
      <c r="H45" s="4"/>
      <c r="I45" s="4"/>
      <c r="J45" s="4"/>
    </row>
    <row r="46" spans="2:10" s="91" customFormat="1" ht="19.5" customHeight="1">
      <c r="B46" s="185" t="s">
        <v>328</v>
      </c>
      <c r="C46" s="318" t="s">
        <v>329</v>
      </c>
      <c r="D46" s="318"/>
      <c r="E46" s="318"/>
      <c r="F46" s="318"/>
      <c r="G46" s="318"/>
      <c r="H46" s="161">
        <f>H47</f>
        <v>1286540</v>
      </c>
      <c r="I46" s="161">
        <f>I47</f>
        <v>0</v>
      </c>
      <c r="J46" s="161">
        <f>J47</f>
        <v>1286540</v>
      </c>
    </row>
    <row r="47" spans="3:10" s="26" customFormat="1" ht="15" customHeight="1">
      <c r="C47" s="28" t="s">
        <v>330</v>
      </c>
      <c r="D47" s="28"/>
      <c r="E47" s="28"/>
      <c r="F47" s="28"/>
      <c r="G47" s="28"/>
      <c r="H47" s="25">
        <f>H48+H50+H54</f>
        <v>1286540</v>
      </c>
      <c r="I47" s="25">
        <f>I48+I50+I54</f>
        <v>0</v>
      </c>
      <c r="J47" s="25">
        <f>J48+J50+J54</f>
        <v>1286540</v>
      </c>
    </row>
    <row r="48" spans="3:10" s="26" customFormat="1" ht="16.5" customHeight="1">
      <c r="C48" s="26" t="s">
        <v>331</v>
      </c>
      <c r="H48" s="25">
        <v>-78728</v>
      </c>
      <c r="I48" s="25"/>
      <c r="J48" s="25">
        <f>SUM(H48:I48)</f>
        <v>-78728</v>
      </c>
    </row>
    <row r="49" spans="8:10" s="26" customFormat="1" ht="7.5" customHeight="1">
      <c r="H49" s="25"/>
      <c r="I49" s="25"/>
      <c r="J49" s="25"/>
    </row>
    <row r="50" spans="3:10" s="26" customFormat="1" ht="11.25">
      <c r="C50" s="26" t="s">
        <v>295</v>
      </c>
      <c r="H50" s="25">
        <f>H51-H52</f>
        <v>1753656</v>
      </c>
      <c r="I50" s="25">
        <f>I51-I52</f>
        <v>0</v>
      </c>
      <c r="J50" s="25">
        <f>J51-J52</f>
        <v>1753656</v>
      </c>
    </row>
    <row r="51" spans="4:10" s="188" customFormat="1" ht="12.75" customHeight="1">
      <c r="D51" s="323" t="s">
        <v>296</v>
      </c>
      <c r="E51" s="323"/>
      <c r="F51" s="323"/>
      <c r="G51" s="323"/>
      <c r="H51" s="134">
        <f>1369926+13108+370622</f>
        <v>1753656</v>
      </c>
      <c r="I51" s="134"/>
      <c r="J51" s="134">
        <f>SUM(H51:I51)</f>
        <v>1753656</v>
      </c>
    </row>
    <row r="52" spans="4:10" s="188" customFormat="1" ht="12.75" customHeight="1">
      <c r="D52" s="323" t="s">
        <v>297</v>
      </c>
      <c r="E52" s="323"/>
      <c r="F52" s="323"/>
      <c r="G52" s="323"/>
      <c r="H52" s="134"/>
      <c r="I52" s="134"/>
      <c r="J52" s="134"/>
    </row>
    <row r="53" spans="8:10" s="26" customFormat="1" ht="6.75" customHeight="1">
      <c r="H53" s="25"/>
      <c r="I53" s="25"/>
      <c r="J53" s="25"/>
    </row>
    <row r="54" spans="3:10" s="26" customFormat="1" ht="11.25">
      <c r="C54" s="26" t="s">
        <v>332</v>
      </c>
      <c r="H54" s="25">
        <v>-388388</v>
      </c>
      <c r="I54" s="25"/>
      <c r="J54" s="25">
        <f>SUM(H54:I54)</f>
        <v>-388388</v>
      </c>
    </row>
    <row r="55" spans="8:10" s="26" customFormat="1" ht="11.25">
      <c r="H55" s="25"/>
      <c r="I55" s="25"/>
      <c r="J55" s="25"/>
    </row>
    <row r="56" spans="8:10" s="26" customFormat="1" ht="11.25">
      <c r="H56" s="25"/>
      <c r="I56" s="25"/>
      <c r="J56" s="25"/>
    </row>
    <row r="58" spans="2:10" ht="12.75">
      <c r="B58" s="1" t="s">
        <v>203</v>
      </c>
      <c r="H58" s="4"/>
      <c r="I58" s="4" t="s">
        <v>204</v>
      </c>
      <c r="J58" s="4"/>
    </row>
  </sheetData>
  <mergeCells count="22">
    <mergeCell ref="D51:G51"/>
    <mergeCell ref="D52:G52"/>
    <mergeCell ref="C32:G32"/>
    <mergeCell ref="C34:G34"/>
    <mergeCell ref="C40:G40"/>
    <mergeCell ref="C44:G44"/>
    <mergeCell ref="C36:G36"/>
    <mergeCell ref="C38:G38"/>
    <mergeCell ref="C42:G42"/>
    <mergeCell ref="C46:G46"/>
    <mergeCell ref="C22:G22"/>
    <mergeCell ref="C24:G24"/>
    <mergeCell ref="C26:G26"/>
    <mergeCell ref="C28:G28"/>
    <mergeCell ref="C14:G14"/>
    <mergeCell ref="C16:G16"/>
    <mergeCell ref="C18:G18"/>
    <mergeCell ref="C20:G20"/>
    <mergeCell ref="B8:G8"/>
    <mergeCell ref="C10:G10"/>
    <mergeCell ref="C12:G12"/>
    <mergeCell ref="B6:I6"/>
  </mergeCells>
  <printOptions/>
  <pageMargins left="0.43" right="0.29" top="0.36" bottom="0.37" header="0.23" footer="0.1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90"/>
  <sheetViews>
    <sheetView zoomScale="120" zoomScaleNormal="120" workbookViewId="0" topLeftCell="A34">
      <selection activeCell="E78" sqref="E78"/>
    </sheetView>
  </sheetViews>
  <sheetFormatPr defaultColWidth="9.140625" defaultRowHeight="12.75"/>
  <cols>
    <col min="1" max="1" width="3.00390625" style="1" customWidth="1"/>
    <col min="2" max="2" width="11.57421875" style="1" customWidth="1"/>
    <col min="3" max="5" width="9.140625" style="1" customWidth="1"/>
    <col min="6" max="6" width="13.8515625" style="1" customWidth="1"/>
    <col min="7" max="7" width="5.8515625" style="1" customWidth="1"/>
    <col min="8" max="10" width="11.421875" style="1" customWidth="1"/>
    <col min="11" max="16384" width="9.140625" style="1" customWidth="1"/>
  </cols>
  <sheetData>
    <row r="1" spans="2:10" ht="12.75">
      <c r="B1" s="127"/>
      <c r="H1" s="2"/>
      <c r="I1" s="2" t="s">
        <v>299</v>
      </c>
      <c r="J1" s="2"/>
    </row>
    <row r="2" spans="2:10" ht="12.75">
      <c r="B2" s="128"/>
      <c r="C2" s="26"/>
      <c r="D2" s="26"/>
      <c r="E2" s="26"/>
      <c r="F2" s="26"/>
      <c r="G2" s="26"/>
      <c r="H2" s="3"/>
      <c r="I2" s="3" t="s">
        <v>470</v>
      </c>
      <c r="J2" s="3"/>
    </row>
    <row r="3" spans="2:10" ht="12.75">
      <c r="B3" s="128"/>
      <c r="C3" s="26"/>
      <c r="D3" s="26"/>
      <c r="E3" s="26"/>
      <c r="F3" s="26"/>
      <c r="G3" s="26"/>
      <c r="H3" s="3"/>
      <c r="I3" s="3" t="s">
        <v>494</v>
      </c>
      <c r="J3" s="3"/>
    </row>
    <row r="4" spans="2:10" ht="12.75">
      <c r="B4" s="128"/>
      <c r="C4" s="26"/>
      <c r="D4" s="26"/>
      <c r="E4" s="26"/>
      <c r="F4" s="26"/>
      <c r="G4" s="26"/>
      <c r="H4" s="3"/>
      <c r="I4" s="3" t="s">
        <v>495</v>
      </c>
      <c r="J4" s="3"/>
    </row>
    <row r="5" spans="2:10" ht="6.75" customHeight="1">
      <c r="B5" s="128"/>
      <c r="C5" s="26"/>
      <c r="D5" s="26"/>
      <c r="E5" s="26"/>
      <c r="F5" s="26"/>
      <c r="G5" s="26"/>
      <c r="H5" s="129"/>
      <c r="I5" s="129"/>
      <c r="J5" s="129"/>
    </row>
    <row r="6" spans="2:9" s="5" customFormat="1" ht="30" customHeight="1">
      <c r="B6" s="293" t="s">
        <v>474</v>
      </c>
      <c r="C6" s="293"/>
      <c r="D6" s="293"/>
      <c r="E6" s="293"/>
      <c r="F6" s="293"/>
      <c r="G6" s="293"/>
      <c r="H6" s="293"/>
      <c r="I6" s="293"/>
    </row>
    <row r="7" spans="2:9" s="6" customFormat="1" ht="15" customHeight="1">
      <c r="B7" s="372" t="s">
        <v>300</v>
      </c>
      <c r="C7" s="372"/>
      <c r="D7" s="372"/>
      <c r="E7" s="372"/>
      <c r="F7" s="372"/>
      <c r="G7" s="372"/>
      <c r="H7" s="372"/>
      <c r="I7" s="372"/>
    </row>
    <row r="8" spans="2:10" ht="9" customHeight="1">
      <c r="B8" s="127"/>
      <c r="H8" s="130"/>
      <c r="I8" s="130"/>
      <c r="J8" s="130"/>
    </row>
    <row r="9" spans="2:10" s="20" customFormat="1" ht="41.25" customHeight="1">
      <c r="B9" s="272" t="s">
        <v>1</v>
      </c>
      <c r="C9" s="363" t="s">
        <v>2</v>
      </c>
      <c r="D9" s="363"/>
      <c r="E9" s="363"/>
      <c r="F9" s="363"/>
      <c r="G9" s="363"/>
      <c r="H9" s="284" t="s">
        <v>463</v>
      </c>
      <c r="I9" s="284" t="s">
        <v>440</v>
      </c>
      <c r="J9" s="284" t="s">
        <v>475</v>
      </c>
    </row>
    <row r="10" spans="2:10" ht="7.5" customHeight="1">
      <c r="B10" s="21"/>
      <c r="C10" s="26"/>
      <c r="D10" s="26"/>
      <c r="E10" s="26"/>
      <c r="F10" s="26"/>
      <c r="G10" s="26"/>
      <c r="H10" s="25"/>
      <c r="I10" s="25"/>
      <c r="J10" s="25"/>
    </row>
    <row r="11" spans="2:10" s="91" customFormat="1" ht="12.75">
      <c r="B11" s="165" t="s">
        <v>228</v>
      </c>
      <c r="C11" s="371" t="s">
        <v>121</v>
      </c>
      <c r="D11" s="371"/>
      <c r="E11" s="371"/>
      <c r="F11" s="371"/>
      <c r="G11" s="371"/>
      <c r="H11" s="164">
        <f>H14</f>
        <v>1176</v>
      </c>
      <c r="I11" s="164">
        <f>I14</f>
        <v>6000</v>
      </c>
      <c r="J11" s="164">
        <f>J14</f>
        <v>7176</v>
      </c>
    </row>
    <row r="12" spans="2:10" s="17" customFormat="1" ht="6.75" customHeight="1">
      <c r="B12" s="31"/>
      <c r="C12" s="151"/>
      <c r="D12" s="20"/>
      <c r="E12" s="20"/>
      <c r="F12" s="20"/>
      <c r="G12" s="20"/>
      <c r="H12" s="23"/>
      <c r="I12" s="23"/>
      <c r="J12" s="23"/>
    </row>
    <row r="13" spans="2:10" s="17" customFormat="1" ht="12">
      <c r="B13" s="18" t="s">
        <v>205</v>
      </c>
      <c r="C13" s="60" t="s">
        <v>3</v>
      </c>
      <c r="E13" s="6"/>
      <c r="H13" s="19"/>
      <c r="I13" s="19"/>
      <c r="J13" s="19"/>
    </row>
    <row r="14" spans="2:10" s="26" customFormat="1" ht="11.25">
      <c r="B14" s="21"/>
      <c r="C14" s="359" t="s">
        <v>177</v>
      </c>
      <c r="D14" s="359"/>
      <c r="E14" s="359"/>
      <c r="F14" s="359"/>
      <c r="G14" s="359"/>
      <c r="H14" s="23">
        <f>H15+H16</f>
        <v>1176</v>
      </c>
      <c r="I14" s="23">
        <f>I15+I16</f>
        <v>6000</v>
      </c>
      <c r="J14" s="23">
        <f>J15+J16</f>
        <v>7176</v>
      </c>
    </row>
    <row r="15" spans="2:10" s="26" customFormat="1" ht="11.25">
      <c r="B15" s="21"/>
      <c r="C15" s="321" t="s">
        <v>5</v>
      </c>
      <c r="D15" s="321"/>
      <c r="E15" s="321"/>
      <c r="F15" s="321"/>
      <c r="G15" s="321"/>
      <c r="H15" s="25">
        <v>1176</v>
      </c>
      <c r="I15" s="25"/>
      <c r="J15" s="25">
        <f>SUM(H15:I15)</f>
        <v>1176</v>
      </c>
    </row>
    <row r="16" spans="2:10" s="26" customFormat="1" ht="11.25">
      <c r="B16" s="21"/>
      <c r="C16" s="321" t="s">
        <v>303</v>
      </c>
      <c r="D16" s="321"/>
      <c r="E16" s="321"/>
      <c r="F16" s="321"/>
      <c r="G16" s="321"/>
      <c r="H16" s="25">
        <v>0</v>
      </c>
      <c r="I16" s="25">
        <v>6000</v>
      </c>
      <c r="J16" s="25">
        <f>SUM(H16:I16)</f>
        <v>6000</v>
      </c>
    </row>
    <row r="17" spans="2:10" s="26" customFormat="1" ht="11.25">
      <c r="B17" s="21"/>
      <c r="C17" s="359" t="s">
        <v>243</v>
      </c>
      <c r="D17" s="359"/>
      <c r="E17" s="359"/>
      <c r="F17" s="359"/>
      <c r="G17" s="359"/>
      <c r="H17" s="23">
        <f>H18</f>
        <v>1176</v>
      </c>
      <c r="I17" s="23">
        <f>I18</f>
        <v>6000</v>
      </c>
      <c r="J17" s="23">
        <f>J18</f>
        <v>7176</v>
      </c>
    </row>
    <row r="18" spans="2:10" s="26" customFormat="1" ht="11.25">
      <c r="B18" s="21"/>
      <c r="C18" s="321" t="s">
        <v>9</v>
      </c>
      <c r="D18" s="321"/>
      <c r="E18" s="321"/>
      <c r="F18" s="321"/>
      <c r="G18" s="321"/>
      <c r="H18" s="25">
        <v>1176</v>
      </c>
      <c r="I18" s="25">
        <v>6000</v>
      </c>
      <c r="J18" s="25">
        <f>SUM(H18:I18)</f>
        <v>7176</v>
      </c>
    </row>
    <row r="19" spans="2:10" s="26" customFormat="1" ht="7.5" customHeight="1">
      <c r="B19" s="21"/>
      <c r="C19" s="28"/>
      <c r="D19" s="28"/>
      <c r="E19" s="28"/>
      <c r="F19" s="28"/>
      <c r="G19" s="28"/>
      <c r="H19" s="25"/>
      <c r="I19" s="25"/>
      <c r="J19" s="25"/>
    </row>
    <row r="20" spans="2:10" ht="12.75">
      <c r="B20" s="165" t="s">
        <v>69</v>
      </c>
      <c r="C20" s="149" t="s">
        <v>196</v>
      </c>
      <c r="D20" s="166"/>
      <c r="E20" s="166"/>
      <c r="F20" s="166"/>
      <c r="G20" s="166"/>
      <c r="H20" s="167">
        <f>H23+H29+H35+H41</f>
        <v>5120</v>
      </c>
      <c r="I20" s="167">
        <f>I23+I29+I35+I41</f>
        <v>1500</v>
      </c>
      <c r="J20" s="167">
        <f>J23+J29+J35+J41</f>
        <v>6620</v>
      </c>
    </row>
    <row r="21" spans="2:10" s="6" customFormat="1" ht="7.5" customHeight="1">
      <c r="B21" s="1"/>
      <c r="C21" s="1"/>
      <c r="D21" s="1"/>
      <c r="E21" s="1"/>
      <c r="F21" s="1"/>
      <c r="G21" s="1"/>
      <c r="H21" s="26"/>
      <c r="I21" s="26"/>
      <c r="J21" s="26"/>
    </row>
    <row r="22" spans="2:7" s="6" customFormat="1" ht="12">
      <c r="B22" s="79" t="s">
        <v>81</v>
      </c>
      <c r="C22" s="60" t="s">
        <v>301</v>
      </c>
      <c r="D22" s="60"/>
      <c r="E22" s="60"/>
      <c r="F22" s="60"/>
      <c r="G22" s="168"/>
    </row>
    <row r="23" spans="2:10" s="26" customFormat="1" ht="11.25">
      <c r="B23" s="21"/>
      <c r="C23" s="359" t="s">
        <v>177</v>
      </c>
      <c r="D23" s="359"/>
      <c r="E23" s="359"/>
      <c r="F23" s="359"/>
      <c r="G23" s="359"/>
      <c r="H23" s="169">
        <f>H24</f>
        <v>456</v>
      </c>
      <c r="I23" s="169">
        <f>I24</f>
        <v>0</v>
      </c>
      <c r="J23" s="169">
        <f>J24</f>
        <v>456</v>
      </c>
    </row>
    <row r="24" spans="2:10" s="26" customFormat="1" ht="11.25">
      <c r="B24" s="21"/>
      <c r="C24" s="321" t="s">
        <v>5</v>
      </c>
      <c r="D24" s="321"/>
      <c r="E24" s="321"/>
      <c r="F24" s="321"/>
      <c r="G24" s="321"/>
      <c r="H24" s="30">
        <v>456</v>
      </c>
      <c r="I24" s="30"/>
      <c r="J24" s="30">
        <f>SUM(H24:I24)</f>
        <v>456</v>
      </c>
    </row>
    <row r="25" spans="2:10" s="26" customFormat="1" ht="11.25">
      <c r="B25" s="21"/>
      <c r="C25" s="359" t="s">
        <v>243</v>
      </c>
      <c r="D25" s="359"/>
      <c r="E25" s="359"/>
      <c r="F25" s="359"/>
      <c r="G25" s="359"/>
      <c r="H25" s="169">
        <f>SUM(H26:H26)</f>
        <v>456</v>
      </c>
      <c r="I25" s="169">
        <f>SUM(I26:I26)</f>
        <v>0</v>
      </c>
      <c r="J25" s="169">
        <f>SUM(J26:J26)</f>
        <v>456</v>
      </c>
    </row>
    <row r="26" spans="2:10" s="26" customFormat="1" ht="11.25">
      <c r="B26" s="21"/>
      <c r="C26" s="321" t="s">
        <v>9</v>
      </c>
      <c r="D26" s="321"/>
      <c r="E26" s="321"/>
      <c r="F26" s="321"/>
      <c r="G26" s="321"/>
      <c r="H26" s="30">
        <v>456</v>
      </c>
      <c r="I26" s="30"/>
      <c r="J26" s="30">
        <f>SUM(H26:I26)</f>
        <v>456</v>
      </c>
    </row>
    <row r="27" spans="2:10" s="26" customFormat="1" ht="6.75" customHeight="1">
      <c r="B27" s="21"/>
      <c r="C27" s="28"/>
      <c r="D27" s="28"/>
      <c r="E27" s="28"/>
      <c r="F27" s="28"/>
      <c r="G27" s="28"/>
      <c r="H27" s="30"/>
      <c r="I27" s="30"/>
      <c r="J27" s="30"/>
    </row>
    <row r="28" spans="2:7" s="6" customFormat="1" ht="12">
      <c r="B28" s="18" t="s">
        <v>80</v>
      </c>
      <c r="C28" s="60" t="s">
        <v>302</v>
      </c>
      <c r="D28" s="60"/>
      <c r="E28" s="60"/>
      <c r="F28" s="60"/>
      <c r="G28" s="168"/>
    </row>
    <row r="29" spans="2:10" s="26" customFormat="1" ht="11.25">
      <c r="B29" s="21"/>
      <c r="C29" s="359" t="s">
        <v>177</v>
      </c>
      <c r="D29" s="359"/>
      <c r="E29" s="359"/>
      <c r="F29" s="359"/>
      <c r="G29" s="359"/>
      <c r="H29" s="169">
        <f>H30</f>
        <v>100</v>
      </c>
      <c r="I29" s="169">
        <f>I30</f>
        <v>0</v>
      </c>
      <c r="J29" s="169">
        <f>J30</f>
        <v>100</v>
      </c>
    </row>
    <row r="30" spans="2:10" s="26" customFormat="1" ht="11.25">
      <c r="B30" s="21"/>
      <c r="C30" s="321" t="s">
        <v>5</v>
      </c>
      <c r="D30" s="321"/>
      <c r="E30" s="321"/>
      <c r="F30" s="321"/>
      <c r="G30" s="321"/>
      <c r="H30" s="30">
        <v>100</v>
      </c>
      <c r="I30" s="30"/>
      <c r="J30" s="30">
        <f>SUM(H30:I30)</f>
        <v>100</v>
      </c>
    </row>
    <row r="31" spans="2:10" s="26" customFormat="1" ht="11.25">
      <c r="B31" s="21"/>
      <c r="C31" s="359" t="s">
        <v>243</v>
      </c>
      <c r="D31" s="359"/>
      <c r="E31" s="359"/>
      <c r="F31" s="359"/>
      <c r="G31" s="359"/>
      <c r="H31" s="169">
        <f>SUM(H32:H32)</f>
        <v>100</v>
      </c>
      <c r="I31" s="169">
        <f>SUM(I32:I32)</f>
        <v>0</v>
      </c>
      <c r="J31" s="169">
        <f>SUM(J32:J32)</f>
        <v>100</v>
      </c>
    </row>
    <row r="32" spans="2:10" s="26" customFormat="1" ht="11.25">
      <c r="B32" s="21"/>
      <c r="C32" s="321" t="s">
        <v>9</v>
      </c>
      <c r="D32" s="321"/>
      <c r="E32" s="321"/>
      <c r="F32" s="321"/>
      <c r="G32" s="321"/>
      <c r="H32" s="30">
        <v>100</v>
      </c>
      <c r="I32" s="30"/>
      <c r="J32" s="30">
        <f>SUM(H32:I32)</f>
        <v>100</v>
      </c>
    </row>
    <row r="33" spans="2:10" s="26" customFormat="1" ht="8.25" customHeight="1">
      <c r="B33" s="21"/>
      <c r="C33" s="28"/>
      <c r="D33" s="28"/>
      <c r="E33" s="28"/>
      <c r="F33" s="28"/>
      <c r="G33" s="28"/>
      <c r="H33" s="30"/>
      <c r="I33" s="30"/>
      <c r="J33" s="30"/>
    </row>
    <row r="34" spans="2:7" s="6" customFormat="1" ht="12">
      <c r="B34" s="79" t="s">
        <v>163</v>
      </c>
      <c r="C34" s="60" t="s">
        <v>75</v>
      </c>
      <c r="D34" s="60"/>
      <c r="E34" s="60"/>
      <c r="F34" s="168"/>
      <c r="G34" s="168"/>
    </row>
    <row r="35" spans="2:10" s="26" customFormat="1" ht="11.25">
      <c r="B35" s="21"/>
      <c r="C35" s="359" t="s">
        <v>177</v>
      </c>
      <c r="D35" s="359"/>
      <c r="E35" s="359"/>
      <c r="F35" s="359"/>
      <c r="G35" s="359"/>
      <c r="H35" s="169">
        <f>H36</f>
        <v>4564</v>
      </c>
      <c r="I35" s="169">
        <f>I36</f>
        <v>0</v>
      </c>
      <c r="J35" s="169">
        <f>J36</f>
        <v>4564</v>
      </c>
    </row>
    <row r="36" spans="2:10" s="26" customFormat="1" ht="11.25">
      <c r="B36" s="21"/>
      <c r="C36" s="321" t="s">
        <v>5</v>
      </c>
      <c r="D36" s="321"/>
      <c r="E36" s="321"/>
      <c r="F36" s="321"/>
      <c r="G36" s="321"/>
      <c r="H36" s="30">
        <v>4564</v>
      </c>
      <c r="I36" s="30"/>
      <c r="J36" s="30">
        <f>SUM(H36:I36)</f>
        <v>4564</v>
      </c>
    </row>
    <row r="37" spans="2:10" s="26" customFormat="1" ht="11.25">
      <c r="B37" s="21"/>
      <c r="C37" s="359" t="s">
        <v>243</v>
      </c>
      <c r="D37" s="359"/>
      <c r="E37" s="359"/>
      <c r="F37" s="359"/>
      <c r="G37" s="359"/>
      <c r="H37" s="169">
        <f>H38</f>
        <v>4564</v>
      </c>
      <c r="I37" s="169">
        <f>I38</f>
        <v>0</v>
      </c>
      <c r="J37" s="169">
        <f>J38</f>
        <v>4564</v>
      </c>
    </row>
    <row r="38" spans="2:10" s="26" customFormat="1" ht="11.25">
      <c r="B38" s="21"/>
      <c r="C38" s="321" t="s">
        <v>9</v>
      </c>
      <c r="D38" s="321"/>
      <c r="E38" s="321"/>
      <c r="F38" s="321"/>
      <c r="G38" s="321"/>
      <c r="H38" s="30">
        <v>4564</v>
      </c>
      <c r="I38" s="30"/>
      <c r="J38" s="30">
        <f>SUM(H38:I38)</f>
        <v>4564</v>
      </c>
    </row>
    <row r="39" spans="2:10" s="26" customFormat="1" ht="6.75" customHeight="1">
      <c r="B39" s="21"/>
      <c r="C39" s="28"/>
      <c r="D39" s="28"/>
      <c r="E39" s="28"/>
      <c r="F39" s="28"/>
      <c r="G39" s="28"/>
      <c r="H39" s="30"/>
      <c r="I39" s="30"/>
      <c r="J39" s="30"/>
    </row>
    <row r="40" spans="2:7" s="6" customFormat="1" ht="12">
      <c r="B40" s="79" t="s">
        <v>468</v>
      </c>
      <c r="C40" s="60" t="s">
        <v>72</v>
      </c>
      <c r="D40" s="60"/>
      <c r="E40" s="60"/>
      <c r="F40" s="168"/>
      <c r="G40" s="168"/>
    </row>
    <row r="41" spans="2:10" s="26" customFormat="1" ht="11.25">
      <c r="B41" s="21"/>
      <c r="C41" s="359" t="s">
        <v>177</v>
      </c>
      <c r="D41" s="359"/>
      <c r="E41" s="359"/>
      <c r="F41" s="359"/>
      <c r="G41" s="359"/>
      <c r="H41" s="169">
        <f>H42</f>
        <v>0</v>
      </c>
      <c r="I41" s="169">
        <f>I42</f>
        <v>1500</v>
      </c>
      <c r="J41" s="169">
        <f>J42</f>
        <v>1500</v>
      </c>
    </row>
    <row r="42" spans="2:10" s="26" customFormat="1" ht="11.25">
      <c r="B42" s="21"/>
      <c r="C42" s="321" t="s">
        <v>303</v>
      </c>
      <c r="D42" s="321"/>
      <c r="E42" s="321"/>
      <c r="F42" s="321"/>
      <c r="G42" s="321"/>
      <c r="H42" s="30">
        <v>0</v>
      </c>
      <c r="I42" s="30">
        <v>1500</v>
      </c>
      <c r="J42" s="30">
        <f>SUM(H42:I42)</f>
        <v>1500</v>
      </c>
    </row>
    <row r="43" spans="2:10" s="26" customFormat="1" ht="11.25">
      <c r="B43" s="21"/>
      <c r="C43" s="359" t="s">
        <v>243</v>
      </c>
      <c r="D43" s="359"/>
      <c r="E43" s="359"/>
      <c r="F43" s="359"/>
      <c r="G43" s="359"/>
      <c r="H43" s="169">
        <f>H44</f>
        <v>0</v>
      </c>
      <c r="I43" s="169">
        <f>I44</f>
        <v>1500</v>
      </c>
      <c r="J43" s="169">
        <f>J44</f>
        <v>1500</v>
      </c>
    </row>
    <row r="44" spans="2:10" s="26" customFormat="1" ht="11.25">
      <c r="B44" s="21"/>
      <c r="C44" s="321" t="s">
        <v>9</v>
      </c>
      <c r="D44" s="321"/>
      <c r="E44" s="321"/>
      <c r="F44" s="321"/>
      <c r="G44" s="321"/>
      <c r="H44" s="30">
        <v>0</v>
      </c>
      <c r="I44" s="30">
        <v>1500</v>
      </c>
      <c r="J44" s="30">
        <f>SUM(H44:I44)</f>
        <v>1500</v>
      </c>
    </row>
    <row r="45" spans="2:10" s="26" customFormat="1" ht="6.75" customHeight="1">
      <c r="B45" s="21"/>
      <c r="C45" s="28"/>
      <c r="D45" s="28"/>
      <c r="E45" s="28"/>
      <c r="F45" s="28"/>
      <c r="G45" s="28"/>
      <c r="H45" s="30"/>
      <c r="I45" s="30"/>
      <c r="J45" s="30"/>
    </row>
    <row r="46" spans="2:10" s="17" customFormat="1" ht="12.75">
      <c r="B46" s="172" t="s">
        <v>93</v>
      </c>
      <c r="C46" s="149" t="s">
        <v>23</v>
      </c>
      <c r="D46" s="163"/>
      <c r="E46" s="163"/>
      <c r="F46" s="163"/>
      <c r="G46" s="163"/>
      <c r="H46" s="164">
        <f>H49</f>
        <v>7388</v>
      </c>
      <c r="I46" s="164">
        <f>I49</f>
        <v>0</v>
      </c>
      <c r="J46" s="164">
        <f>J49</f>
        <v>7388</v>
      </c>
    </row>
    <row r="47" spans="2:10" s="26" customFormat="1" ht="6.75" customHeight="1">
      <c r="B47" s="31"/>
      <c r="C47" s="151"/>
      <c r="D47" s="151"/>
      <c r="E47" s="151"/>
      <c r="F47" s="170"/>
      <c r="H47" s="27"/>
      <c r="I47" s="27"/>
      <c r="J47" s="27"/>
    </row>
    <row r="48" spans="2:10" s="6" customFormat="1" ht="12">
      <c r="B48" s="79" t="s">
        <v>93</v>
      </c>
      <c r="C48" s="60" t="s">
        <v>24</v>
      </c>
      <c r="D48" s="60"/>
      <c r="E48" s="60"/>
      <c r="F48" s="168"/>
      <c r="H48" s="171"/>
      <c r="I48" s="171"/>
      <c r="J48" s="171"/>
    </row>
    <row r="49" spans="2:10" s="26" customFormat="1" ht="11.25">
      <c r="B49" s="27"/>
      <c r="C49" s="359" t="s">
        <v>177</v>
      </c>
      <c r="D49" s="359"/>
      <c r="E49" s="359"/>
      <c r="F49" s="359"/>
      <c r="G49" s="359"/>
      <c r="H49" s="23">
        <f>H50+H51</f>
        <v>7388</v>
      </c>
      <c r="I49" s="23">
        <f>I50+I51</f>
        <v>0</v>
      </c>
      <c r="J49" s="23">
        <f>J50+J51</f>
        <v>7388</v>
      </c>
    </row>
    <row r="50" spans="2:10" s="26" customFormat="1" ht="11.25">
      <c r="B50" s="27"/>
      <c r="C50" s="321" t="s">
        <v>5</v>
      </c>
      <c r="D50" s="321"/>
      <c r="E50" s="321"/>
      <c r="F50" s="321"/>
      <c r="G50" s="321"/>
      <c r="H50" s="25">
        <v>4373</v>
      </c>
      <c r="I50" s="25"/>
      <c r="J50" s="25">
        <f>SUM(H50:I50)</f>
        <v>4373</v>
      </c>
    </row>
    <row r="51" spans="2:10" s="26" customFormat="1" ht="11.25">
      <c r="B51" s="27"/>
      <c r="C51" s="28" t="s">
        <v>303</v>
      </c>
      <c r="D51" s="28"/>
      <c r="E51" s="28"/>
      <c r="F51" s="28"/>
      <c r="G51" s="28"/>
      <c r="H51" s="25">
        <v>3015</v>
      </c>
      <c r="I51" s="25"/>
      <c r="J51" s="25">
        <f>SUM(H51:I51)</f>
        <v>3015</v>
      </c>
    </row>
    <row r="52" spans="2:10" s="26" customFormat="1" ht="11.25">
      <c r="B52" s="27"/>
      <c r="C52" s="359" t="s">
        <v>243</v>
      </c>
      <c r="D52" s="359"/>
      <c r="E52" s="359"/>
      <c r="F52" s="359"/>
      <c r="G52" s="359"/>
      <c r="H52" s="23">
        <f>H53+H54</f>
        <v>7388</v>
      </c>
      <c r="I52" s="23">
        <f>I53+I54</f>
        <v>0</v>
      </c>
      <c r="J52" s="23">
        <f>J53+J54</f>
        <v>7388</v>
      </c>
    </row>
    <row r="53" spans="2:10" s="26" customFormat="1" ht="11.25">
      <c r="B53" s="27"/>
      <c r="C53" s="321" t="s">
        <v>9</v>
      </c>
      <c r="D53" s="321"/>
      <c r="E53" s="321"/>
      <c r="F53" s="321"/>
      <c r="G53" s="321"/>
      <c r="H53" s="25">
        <f>4373+2619</f>
        <v>6992</v>
      </c>
      <c r="I53" s="25"/>
      <c r="J53" s="25">
        <f>SUM(H53:I53)</f>
        <v>6992</v>
      </c>
    </row>
    <row r="54" spans="2:10" s="26" customFormat="1" ht="12" customHeight="1">
      <c r="B54" s="31"/>
      <c r="C54" s="26" t="s">
        <v>124</v>
      </c>
      <c r="D54" s="151"/>
      <c r="E54" s="151"/>
      <c r="F54" s="170"/>
      <c r="H54" s="27">
        <v>396</v>
      </c>
      <c r="I54" s="27"/>
      <c r="J54" s="25">
        <f>SUM(H54:I54)</f>
        <v>396</v>
      </c>
    </row>
    <row r="55" spans="2:10" s="26" customFormat="1" ht="6.75" customHeight="1">
      <c r="B55" s="31"/>
      <c r="D55" s="151"/>
      <c r="E55" s="151"/>
      <c r="F55" s="170"/>
      <c r="H55" s="27"/>
      <c r="I55" s="27"/>
      <c r="J55" s="27"/>
    </row>
    <row r="56" spans="2:10" s="26" customFormat="1" ht="12.75">
      <c r="B56" s="172" t="s">
        <v>160</v>
      </c>
      <c r="C56" s="149" t="s">
        <v>230</v>
      </c>
      <c r="D56" s="166"/>
      <c r="E56" s="166"/>
      <c r="F56" s="166"/>
      <c r="G56" s="166"/>
      <c r="H56" s="167">
        <f>H59+H65+H71</f>
        <v>2439</v>
      </c>
      <c r="I56" s="167">
        <f>I59+I65+I71</f>
        <v>0</v>
      </c>
      <c r="J56" s="167">
        <f>J59+J65+J71</f>
        <v>2439</v>
      </c>
    </row>
    <row r="57" spans="2:10" s="84" customFormat="1" ht="6.75" customHeight="1">
      <c r="B57" s="39"/>
      <c r="C57" s="173"/>
      <c r="D57" s="174"/>
      <c r="E57" s="174"/>
      <c r="F57" s="174"/>
      <c r="G57" s="174"/>
      <c r="H57" s="175"/>
      <c r="I57" s="175"/>
      <c r="J57" s="175"/>
    </row>
    <row r="58" spans="2:10" s="26" customFormat="1" ht="12">
      <c r="B58" s="79" t="s">
        <v>172</v>
      </c>
      <c r="C58" s="60" t="s">
        <v>49</v>
      </c>
      <c r="D58" s="60"/>
      <c r="E58" s="60"/>
      <c r="F58" s="60"/>
      <c r="G58" s="168"/>
      <c r="H58" s="6"/>
      <c r="I58" s="6"/>
      <c r="J58" s="6"/>
    </row>
    <row r="59" spans="2:10" s="26" customFormat="1" ht="11.25">
      <c r="B59" s="21"/>
      <c r="C59" s="359" t="s">
        <v>177</v>
      </c>
      <c r="D59" s="359"/>
      <c r="E59" s="359"/>
      <c r="F59" s="359"/>
      <c r="G59" s="359"/>
      <c r="H59" s="169">
        <f>SUM(H60:H60)</f>
        <v>674</v>
      </c>
      <c r="I59" s="169">
        <f>SUM(I60:I60)</f>
        <v>0</v>
      </c>
      <c r="J59" s="169">
        <f>SUM(J60:J60)</f>
        <v>674</v>
      </c>
    </row>
    <row r="60" spans="2:10" s="26" customFormat="1" ht="11.25">
      <c r="B60" s="21"/>
      <c r="C60" s="321" t="s">
        <v>5</v>
      </c>
      <c r="D60" s="321"/>
      <c r="E60" s="321"/>
      <c r="F60" s="321"/>
      <c r="G60" s="321"/>
      <c r="H60" s="30">
        <v>674</v>
      </c>
      <c r="I60" s="30"/>
      <c r="J60" s="30">
        <f>SUM(H60:I60)</f>
        <v>674</v>
      </c>
    </row>
    <row r="61" spans="2:10" s="26" customFormat="1" ht="11.25">
      <c r="B61" s="21"/>
      <c r="C61" s="359" t="s">
        <v>243</v>
      </c>
      <c r="D61" s="359"/>
      <c r="E61" s="359"/>
      <c r="F61" s="359"/>
      <c r="G61" s="359"/>
      <c r="H61" s="169">
        <f>H62</f>
        <v>674</v>
      </c>
      <c r="I61" s="169">
        <f>I62</f>
        <v>0</v>
      </c>
      <c r="J61" s="169">
        <f>J62</f>
        <v>674</v>
      </c>
    </row>
    <row r="62" spans="2:10" s="26" customFormat="1" ht="11.25">
      <c r="B62" s="21"/>
      <c r="C62" s="321" t="s">
        <v>9</v>
      </c>
      <c r="D62" s="321"/>
      <c r="E62" s="321"/>
      <c r="F62" s="321"/>
      <c r="G62" s="321"/>
      <c r="H62" s="30">
        <v>674</v>
      </c>
      <c r="I62" s="30"/>
      <c r="J62" s="30">
        <f>SUM(H62:I62)</f>
        <v>674</v>
      </c>
    </row>
    <row r="63" spans="2:10" ht="6" customHeight="1">
      <c r="B63" s="21"/>
      <c r="C63" s="28"/>
      <c r="D63" s="28"/>
      <c r="E63" s="28"/>
      <c r="F63" s="28"/>
      <c r="G63" s="28"/>
      <c r="H63" s="26"/>
      <c r="I63" s="26"/>
      <c r="J63" s="26"/>
    </row>
    <row r="64" spans="2:10" ht="12.75" customHeight="1">
      <c r="B64" s="79" t="s">
        <v>172</v>
      </c>
      <c r="C64" s="60" t="s">
        <v>50</v>
      </c>
      <c r="D64" s="60"/>
      <c r="E64" s="60"/>
      <c r="F64" s="6"/>
      <c r="G64" s="6"/>
      <c r="H64" s="6"/>
      <c r="I64" s="6"/>
      <c r="J64" s="6"/>
    </row>
    <row r="65" spans="2:10" ht="12.75" customHeight="1">
      <c r="B65" s="21"/>
      <c r="C65" s="359" t="s">
        <v>177</v>
      </c>
      <c r="D65" s="359"/>
      <c r="E65" s="359"/>
      <c r="F65" s="359"/>
      <c r="G65" s="359"/>
      <c r="H65" s="169">
        <f>H66</f>
        <v>108</v>
      </c>
      <c r="I65" s="169">
        <f>I66</f>
        <v>0</v>
      </c>
      <c r="J65" s="169">
        <f>J66</f>
        <v>108</v>
      </c>
    </row>
    <row r="66" spans="2:10" ht="12.75" customHeight="1">
      <c r="B66" s="21"/>
      <c r="C66" s="321" t="s">
        <v>5</v>
      </c>
      <c r="D66" s="321"/>
      <c r="E66" s="321"/>
      <c r="F66" s="321"/>
      <c r="G66" s="321"/>
      <c r="H66" s="30">
        <v>108</v>
      </c>
      <c r="I66" s="30"/>
      <c r="J66" s="30">
        <f>SUM(H66:I66)</f>
        <v>108</v>
      </c>
    </row>
    <row r="67" spans="2:10" ht="12.75" customHeight="1">
      <c r="B67" s="21"/>
      <c r="C67" s="359" t="s">
        <v>243</v>
      </c>
      <c r="D67" s="359"/>
      <c r="E67" s="359"/>
      <c r="F67" s="359"/>
      <c r="G67" s="359"/>
      <c r="H67" s="169">
        <f>H68</f>
        <v>108</v>
      </c>
      <c r="I67" s="169">
        <f>I68</f>
        <v>0</v>
      </c>
      <c r="J67" s="169">
        <f>J68</f>
        <v>108</v>
      </c>
    </row>
    <row r="68" spans="2:10" ht="12.75" customHeight="1">
      <c r="B68" s="21"/>
      <c r="C68" s="321" t="s">
        <v>9</v>
      </c>
      <c r="D68" s="321"/>
      <c r="E68" s="321"/>
      <c r="F68" s="321"/>
      <c r="G68" s="321"/>
      <c r="H68" s="30">
        <v>108</v>
      </c>
      <c r="I68" s="30"/>
      <c r="J68" s="30">
        <f>SUM(H68:I68)</f>
        <v>108</v>
      </c>
    </row>
    <row r="69" spans="2:10" ht="7.5" customHeight="1">
      <c r="B69" s="21"/>
      <c r="C69" s="28"/>
      <c r="D69" s="28"/>
      <c r="E69" s="28"/>
      <c r="F69" s="28"/>
      <c r="G69" s="28"/>
      <c r="H69" s="30"/>
      <c r="I69" s="30"/>
      <c r="J69" s="30"/>
    </row>
    <row r="70" spans="2:10" ht="12.75">
      <c r="B70" s="79" t="s">
        <v>172</v>
      </c>
      <c r="C70" s="60" t="s">
        <v>47</v>
      </c>
      <c r="D70" s="60"/>
      <c r="E70" s="60"/>
      <c r="F70" s="6"/>
      <c r="G70" s="6"/>
      <c r="H70" s="6"/>
      <c r="I70" s="6"/>
      <c r="J70" s="6"/>
    </row>
    <row r="71" spans="2:10" s="26" customFormat="1" ht="11.25">
      <c r="B71" s="21"/>
      <c r="C71" s="359" t="s">
        <v>177</v>
      </c>
      <c r="D71" s="359"/>
      <c r="E71" s="359"/>
      <c r="F71" s="359"/>
      <c r="G71" s="359"/>
      <c r="H71" s="169">
        <f>H72</f>
        <v>1657</v>
      </c>
      <c r="I71" s="169">
        <f>I72</f>
        <v>0</v>
      </c>
      <c r="J71" s="169">
        <f>J72</f>
        <v>1657</v>
      </c>
    </row>
    <row r="72" spans="2:10" s="26" customFormat="1" ht="11.25">
      <c r="B72" s="21"/>
      <c r="C72" s="321" t="s">
        <v>5</v>
      </c>
      <c r="D72" s="321"/>
      <c r="E72" s="321"/>
      <c r="F72" s="321"/>
      <c r="G72" s="321"/>
      <c r="H72" s="30">
        <v>1657</v>
      </c>
      <c r="I72" s="30"/>
      <c r="J72" s="30">
        <f>SUM(H72:I72)</f>
        <v>1657</v>
      </c>
    </row>
    <row r="73" spans="2:10" s="26" customFormat="1" ht="11.25">
      <c r="B73" s="21"/>
      <c r="C73" s="359" t="s">
        <v>243</v>
      </c>
      <c r="D73" s="359"/>
      <c r="E73" s="359"/>
      <c r="F73" s="359"/>
      <c r="G73" s="359"/>
      <c r="H73" s="169">
        <f>H74</f>
        <v>1657</v>
      </c>
      <c r="I73" s="169">
        <f>I74</f>
        <v>0</v>
      </c>
      <c r="J73" s="169">
        <f>J74</f>
        <v>1657</v>
      </c>
    </row>
    <row r="74" spans="3:10" ht="12.75">
      <c r="C74" s="26" t="s">
        <v>9</v>
      </c>
      <c r="H74" s="30">
        <v>1657</v>
      </c>
      <c r="I74" s="30"/>
      <c r="J74" s="30">
        <f>SUM(H74:I74)</f>
        <v>1657</v>
      </c>
    </row>
    <row r="75" spans="2:10" ht="12.75" customHeight="1">
      <c r="B75" s="21"/>
      <c r="C75" s="28"/>
      <c r="D75" s="28"/>
      <c r="E75" s="28"/>
      <c r="F75" s="28"/>
      <c r="G75" s="28"/>
      <c r="H75" s="30"/>
      <c r="I75" s="30"/>
      <c r="J75" s="30"/>
    </row>
    <row r="76" spans="2:10" ht="15.75">
      <c r="B76" s="269"/>
      <c r="C76" s="176"/>
      <c r="D76" s="176"/>
      <c r="E76" s="176"/>
      <c r="F76" s="373" t="s">
        <v>261</v>
      </c>
      <c r="G76" s="373"/>
      <c r="H76" s="177">
        <f>SUM(H11+H20+H46+H56)</f>
        <v>16123</v>
      </c>
      <c r="I76" s="177">
        <f>SUM(I11+I20+I46+I56)</f>
        <v>7500</v>
      </c>
      <c r="J76" s="177">
        <f>SUM(J11+J20+J46+J56)</f>
        <v>23623</v>
      </c>
    </row>
    <row r="77" spans="3:10" s="270" customFormat="1" ht="15" customHeight="1">
      <c r="C77" s="178"/>
      <c r="D77" s="178"/>
      <c r="E77" s="178"/>
      <c r="F77" s="179"/>
      <c r="G77" s="179"/>
      <c r="H77" s="180"/>
      <c r="I77" s="180"/>
      <c r="J77" s="180"/>
    </row>
    <row r="78" spans="2:9" ht="14.25" customHeight="1">
      <c r="B78" s="1" t="s">
        <v>203</v>
      </c>
      <c r="I78" s="1" t="s">
        <v>204</v>
      </c>
    </row>
    <row r="79" ht="14.25" customHeight="1"/>
    <row r="83" spans="2:10" s="6" customFormat="1" ht="12.75">
      <c r="B83" s="1"/>
      <c r="C83" s="1"/>
      <c r="D83" s="1"/>
      <c r="E83" s="1"/>
      <c r="F83" s="1"/>
      <c r="G83" s="1"/>
      <c r="H83" s="1"/>
      <c r="I83" s="1"/>
      <c r="J83" s="1"/>
    </row>
    <row r="88" spans="2:10" s="270" customFormat="1" ht="12.75">
      <c r="B88" s="1"/>
      <c r="C88" s="1"/>
      <c r="D88" s="1"/>
      <c r="E88" s="1"/>
      <c r="F88" s="1"/>
      <c r="G88" s="1"/>
      <c r="H88" s="1"/>
      <c r="I88" s="1"/>
      <c r="J88" s="1"/>
    </row>
    <row r="90" spans="2:10" s="6" customFormat="1" ht="12.75">
      <c r="B90" s="1"/>
      <c r="C90" s="1"/>
      <c r="D90" s="1"/>
      <c r="E90" s="1"/>
      <c r="F90" s="1"/>
      <c r="G90" s="1"/>
      <c r="H90" s="1"/>
      <c r="I90" s="1"/>
      <c r="J90" s="1"/>
    </row>
  </sheetData>
  <mergeCells count="41">
    <mergeCell ref="C41:G41"/>
    <mergeCell ref="C42:G42"/>
    <mergeCell ref="C43:G43"/>
    <mergeCell ref="C44:G44"/>
    <mergeCell ref="F76:G76"/>
    <mergeCell ref="C71:G71"/>
    <mergeCell ref="C72:G72"/>
    <mergeCell ref="C73:G73"/>
    <mergeCell ref="C65:G65"/>
    <mergeCell ref="C66:G66"/>
    <mergeCell ref="C67:G67"/>
    <mergeCell ref="C68:G68"/>
    <mergeCell ref="C59:G59"/>
    <mergeCell ref="C60:G60"/>
    <mergeCell ref="C61:G61"/>
    <mergeCell ref="C62:G62"/>
    <mergeCell ref="C49:G49"/>
    <mergeCell ref="C50:G50"/>
    <mergeCell ref="C52:G52"/>
    <mergeCell ref="C53:G53"/>
    <mergeCell ref="C35:G35"/>
    <mergeCell ref="C36:G36"/>
    <mergeCell ref="C37:G37"/>
    <mergeCell ref="C38:G38"/>
    <mergeCell ref="C29:G29"/>
    <mergeCell ref="C30:G30"/>
    <mergeCell ref="C31:G31"/>
    <mergeCell ref="C32:G32"/>
    <mergeCell ref="C23:G23"/>
    <mergeCell ref="C24:G24"/>
    <mergeCell ref="C25:G25"/>
    <mergeCell ref="C26:G26"/>
    <mergeCell ref="C14:G14"/>
    <mergeCell ref="C15:G15"/>
    <mergeCell ref="C17:G17"/>
    <mergeCell ref="C18:G18"/>
    <mergeCell ref="C16:G16"/>
    <mergeCell ref="C11:G11"/>
    <mergeCell ref="B7:I7"/>
    <mergeCell ref="C9:G9"/>
    <mergeCell ref="B6:I6"/>
  </mergeCells>
  <printOptions/>
  <pageMargins left="0.78" right="0.16" top="0.2" bottom="0.27" header="0.17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6"/>
  <sheetViews>
    <sheetView workbookViewId="0" topLeftCell="A1">
      <selection activeCell="G3" sqref="G3"/>
    </sheetView>
  </sheetViews>
  <sheetFormatPr defaultColWidth="9.140625" defaultRowHeight="12.75"/>
  <cols>
    <col min="1" max="1" width="3.140625" style="26" customWidth="1"/>
    <col min="2" max="2" width="11.8515625" style="26" customWidth="1"/>
    <col min="3" max="3" width="3.8515625" style="26" customWidth="1"/>
    <col min="4" max="6" width="9.140625" style="26" customWidth="1"/>
    <col min="7" max="7" width="19.7109375" style="26" customWidth="1"/>
    <col min="8" max="10" width="12.140625" style="25" customWidth="1"/>
    <col min="11" max="11" width="11.28125" style="26" customWidth="1"/>
    <col min="12" max="16384" width="9.140625" style="26" customWidth="1"/>
  </cols>
  <sheetData>
    <row r="1" spans="8:10" ht="11.25">
      <c r="H1" s="2"/>
      <c r="I1" s="2" t="s">
        <v>333</v>
      </c>
      <c r="J1" s="2"/>
    </row>
    <row r="2" spans="3:10" ht="12.75" customHeight="1">
      <c r="C2" s="20"/>
      <c r="H2" s="3"/>
      <c r="I2" s="3" t="s">
        <v>439</v>
      </c>
      <c r="J2" s="3"/>
    </row>
    <row r="3" spans="8:10" ht="11.25">
      <c r="H3" s="3"/>
      <c r="I3" s="3" t="s">
        <v>494</v>
      </c>
      <c r="J3" s="3"/>
    </row>
    <row r="4" spans="2:10" ht="11.25">
      <c r="B4" s="20"/>
      <c r="H4" s="3"/>
      <c r="I4" s="3" t="s">
        <v>495</v>
      </c>
      <c r="J4" s="3"/>
    </row>
    <row r="5" spans="2:10" ht="13.5" customHeight="1">
      <c r="B5" s="20"/>
      <c r="H5" s="3"/>
      <c r="I5" s="3"/>
      <c r="J5" s="3"/>
    </row>
    <row r="6" spans="2:10" s="182" customFormat="1" ht="15.75">
      <c r="B6" s="320" t="s">
        <v>334</v>
      </c>
      <c r="C6" s="320"/>
      <c r="D6" s="320"/>
      <c r="E6" s="320"/>
      <c r="F6" s="320"/>
      <c r="G6" s="320"/>
      <c r="H6" s="320"/>
      <c r="I6" s="320"/>
      <c r="J6" s="261"/>
    </row>
    <row r="7" spans="2:10" s="182" customFormat="1" ht="10.5" customHeight="1">
      <c r="B7" s="183"/>
      <c r="C7" s="183"/>
      <c r="D7" s="183"/>
      <c r="E7" s="183"/>
      <c r="F7" s="183"/>
      <c r="G7" s="183"/>
      <c r="H7" s="190"/>
      <c r="I7" s="190"/>
      <c r="J7" s="190"/>
    </row>
    <row r="8" spans="2:10" s="283" customFormat="1" ht="52.5" customHeight="1">
      <c r="B8" s="7" t="s">
        <v>1</v>
      </c>
      <c r="C8" s="327" t="s">
        <v>2</v>
      </c>
      <c r="D8" s="327"/>
      <c r="E8" s="327"/>
      <c r="F8" s="327"/>
      <c r="G8" s="327"/>
      <c r="H8" s="8" t="s">
        <v>445</v>
      </c>
      <c r="I8" s="8" t="s">
        <v>440</v>
      </c>
      <c r="J8" s="8" t="s">
        <v>446</v>
      </c>
    </row>
    <row r="9" spans="2:10" s="191" customFormat="1" ht="16.5" customHeight="1">
      <c r="B9" s="147"/>
      <c r="C9" s="328" t="s">
        <v>483</v>
      </c>
      <c r="D9" s="328"/>
      <c r="E9" s="328"/>
      <c r="F9" s="328"/>
      <c r="G9" s="328"/>
      <c r="H9" s="192">
        <f>H10+H22+H36</f>
        <v>39792240</v>
      </c>
      <c r="I9" s="192">
        <f>I10+I22+I36</f>
        <v>1445266</v>
      </c>
      <c r="J9" s="192">
        <f>J10+J22+J36</f>
        <v>41237506</v>
      </c>
    </row>
    <row r="10" spans="2:10" s="42" customFormat="1" ht="13.5" customHeight="1">
      <c r="B10" s="193"/>
      <c r="C10" s="329" t="s">
        <v>432</v>
      </c>
      <c r="D10" s="329"/>
      <c r="E10" s="329"/>
      <c r="F10" s="329"/>
      <c r="G10" s="329"/>
      <c r="H10" s="279">
        <f>H11+H17</f>
        <v>25135738</v>
      </c>
      <c r="I10" s="279">
        <f>I11+I17</f>
        <v>0</v>
      </c>
      <c r="J10" s="279">
        <f>J11+J17</f>
        <v>25135738</v>
      </c>
    </row>
    <row r="11" spans="2:10" s="194" customFormat="1" ht="13.5" customHeight="1">
      <c r="B11" s="42"/>
      <c r="C11" s="326" t="s">
        <v>482</v>
      </c>
      <c r="D11" s="326"/>
      <c r="E11" s="326"/>
      <c r="F11" s="326"/>
      <c r="G11" s="326"/>
      <c r="H11" s="279">
        <f>H12+H13+H16</f>
        <v>24354143</v>
      </c>
      <c r="I11" s="279">
        <f>I12+I13+I16</f>
        <v>0</v>
      </c>
      <c r="J11" s="279">
        <f>J12+J13+J16</f>
        <v>24354143</v>
      </c>
    </row>
    <row r="12" spans="2:10" s="194" customFormat="1" ht="12" customHeight="1">
      <c r="B12" s="42" t="s">
        <v>335</v>
      </c>
      <c r="C12" s="325" t="s">
        <v>336</v>
      </c>
      <c r="D12" s="325"/>
      <c r="E12" s="325"/>
      <c r="F12" s="325"/>
      <c r="G12" s="325"/>
      <c r="H12" s="29">
        <v>22253215</v>
      </c>
      <c r="I12" s="29"/>
      <c r="J12" s="29">
        <f>SUM(H12:I12)</f>
        <v>22253215</v>
      </c>
    </row>
    <row r="13" spans="2:10" s="194" customFormat="1" ht="11.25">
      <c r="B13" s="42" t="s">
        <v>337</v>
      </c>
      <c r="C13" s="325" t="s">
        <v>338</v>
      </c>
      <c r="D13" s="325"/>
      <c r="E13" s="325"/>
      <c r="F13" s="325"/>
      <c r="G13" s="325"/>
      <c r="H13" s="29">
        <f>H14+H15</f>
        <v>1930928</v>
      </c>
      <c r="I13" s="29">
        <f>I14+I15</f>
        <v>0</v>
      </c>
      <c r="J13" s="29">
        <f>J14+J15</f>
        <v>1930928</v>
      </c>
    </row>
    <row r="14" spans="2:10" s="42" customFormat="1" ht="11.25">
      <c r="B14" s="197" t="s">
        <v>339</v>
      </c>
      <c r="C14" s="325" t="s">
        <v>340</v>
      </c>
      <c r="D14" s="325"/>
      <c r="E14" s="325"/>
      <c r="F14" s="325"/>
      <c r="G14" s="325"/>
      <c r="H14" s="29">
        <v>542181</v>
      </c>
      <c r="I14" s="29"/>
      <c r="J14" s="29">
        <f>SUM(H14:I14)</f>
        <v>542181</v>
      </c>
    </row>
    <row r="15" spans="2:10" s="42" customFormat="1" ht="11.25">
      <c r="B15" s="197" t="s">
        <v>341</v>
      </c>
      <c r="C15" s="325" t="s">
        <v>342</v>
      </c>
      <c r="D15" s="325"/>
      <c r="E15" s="325"/>
      <c r="F15" s="325"/>
      <c r="G15" s="325"/>
      <c r="H15" s="29">
        <v>1388747</v>
      </c>
      <c r="I15" s="29"/>
      <c r="J15" s="29">
        <f>SUM(H15:I15)</f>
        <v>1388747</v>
      </c>
    </row>
    <row r="16" spans="2:10" s="194" customFormat="1" ht="12.75" customHeight="1">
      <c r="B16" s="42" t="s">
        <v>343</v>
      </c>
      <c r="C16" s="325" t="s">
        <v>344</v>
      </c>
      <c r="D16" s="325"/>
      <c r="E16" s="325"/>
      <c r="F16" s="325"/>
      <c r="G16" s="325"/>
      <c r="H16" s="29">
        <v>170000</v>
      </c>
      <c r="I16" s="29"/>
      <c r="J16" s="29">
        <f>SUM(H16:I16)</f>
        <v>170000</v>
      </c>
    </row>
    <row r="17" spans="2:12" s="201" customFormat="1" ht="19.5" customHeight="1">
      <c r="B17" s="202"/>
      <c r="C17" s="326" t="s">
        <v>481</v>
      </c>
      <c r="D17" s="326"/>
      <c r="E17" s="326"/>
      <c r="F17" s="326"/>
      <c r="G17" s="326"/>
      <c r="H17" s="59">
        <f>H18+H19+H20+H21</f>
        <v>781595</v>
      </c>
      <c r="I17" s="59">
        <f>I18+I19+I20+I21</f>
        <v>0</v>
      </c>
      <c r="J17" s="59">
        <f>J18+J19+J20+J21</f>
        <v>781595</v>
      </c>
      <c r="K17" s="200"/>
      <c r="L17" s="200"/>
    </row>
    <row r="18" spans="2:10" s="194" customFormat="1" ht="22.5" customHeight="1">
      <c r="B18" s="112" t="s">
        <v>345</v>
      </c>
      <c r="C18" s="331" t="s">
        <v>346</v>
      </c>
      <c r="D18" s="331"/>
      <c r="E18" s="331"/>
      <c r="F18" s="331"/>
      <c r="G18" s="331"/>
      <c r="H18" s="264">
        <v>112484</v>
      </c>
      <c r="I18" s="264"/>
      <c r="J18" s="264">
        <f>SUM(H18:I18)</f>
        <v>112484</v>
      </c>
    </row>
    <row r="19" spans="2:10" s="194" customFormat="1" ht="11.25">
      <c r="B19" s="42" t="s">
        <v>347</v>
      </c>
      <c r="C19" s="325" t="s">
        <v>348</v>
      </c>
      <c r="D19" s="325"/>
      <c r="E19" s="325"/>
      <c r="F19" s="325"/>
      <c r="G19" s="325"/>
      <c r="H19" s="119">
        <v>26000</v>
      </c>
      <c r="I19" s="119"/>
      <c r="J19" s="119">
        <f>SUM(H19:I19)</f>
        <v>26000</v>
      </c>
    </row>
    <row r="20" spans="2:10" s="194" customFormat="1" ht="11.25" customHeight="1">
      <c r="B20" s="42" t="s">
        <v>349</v>
      </c>
      <c r="C20" s="325" t="s">
        <v>350</v>
      </c>
      <c r="D20" s="325"/>
      <c r="E20" s="325"/>
      <c r="F20" s="325"/>
      <c r="G20" s="325"/>
      <c r="H20" s="119">
        <v>123111</v>
      </c>
      <c r="I20" s="119"/>
      <c r="J20" s="119">
        <f>SUM(H20:I20)</f>
        <v>123111</v>
      </c>
    </row>
    <row r="21" spans="2:10" s="265" customFormat="1" ht="21.75" customHeight="1">
      <c r="B21" s="112" t="s">
        <v>351</v>
      </c>
      <c r="C21" s="331" t="s">
        <v>352</v>
      </c>
      <c r="D21" s="331"/>
      <c r="E21" s="331"/>
      <c r="F21" s="331"/>
      <c r="G21" s="331"/>
      <c r="H21" s="262">
        <v>520000</v>
      </c>
      <c r="I21" s="262"/>
      <c r="J21" s="262">
        <f>SUM(H21:I21)</f>
        <v>520000</v>
      </c>
    </row>
    <row r="22" spans="3:12" s="206" customFormat="1" ht="18" customHeight="1">
      <c r="C22" s="326" t="s">
        <v>480</v>
      </c>
      <c r="D22" s="326"/>
      <c r="E22" s="326"/>
      <c r="F22" s="326"/>
      <c r="G22" s="326"/>
      <c r="H22" s="207">
        <f>H23+H35</f>
        <v>12981532</v>
      </c>
      <c r="I22" s="207">
        <f>I23+I35</f>
        <v>1445266</v>
      </c>
      <c r="J22" s="207">
        <f>J23+J35</f>
        <v>14426798</v>
      </c>
      <c r="K22" s="42"/>
      <c r="L22" s="42"/>
    </row>
    <row r="23" spans="2:12" s="231" customFormat="1" ht="13.5" customHeight="1">
      <c r="B23" s="271" t="s">
        <v>353</v>
      </c>
      <c r="C23" s="330" t="s">
        <v>479</v>
      </c>
      <c r="D23" s="330"/>
      <c r="E23" s="330"/>
      <c r="F23" s="330"/>
      <c r="G23" s="330"/>
      <c r="H23" s="280">
        <f>H24+H25+H31+H32+H33+H34</f>
        <v>12746532</v>
      </c>
      <c r="I23" s="280">
        <f>I24+I25+I31+I32+I33+I34</f>
        <v>1445266</v>
      </c>
      <c r="J23" s="280">
        <f>J24+J25+J31+J32+J33+J34</f>
        <v>14191798</v>
      </c>
      <c r="K23" s="42"/>
      <c r="L23" s="42"/>
    </row>
    <row r="24" spans="2:12" s="231" customFormat="1" ht="12.75" customHeight="1">
      <c r="B24" s="231" t="s">
        <v>354</v>
      </c>
      <c r="C24" s="325" t="s">
        <v>355</v>
      </c>
      <c r="D24" s="325"/>
      <c r="E24" s="325"/>
      <c r="F24" s="325"/>
      <c r="G24" s="325"/>
      <c r="H24" s="211">
        <v>295503</v>
      </c>
      <c r="I24" s="211">
        <f>300353+5934</f>
        <v>306287</v>
      </c>
      <c r="J24" s="211">
        <f>SUM(H24:I24)</f>
        <v>601790</v>
      </c>
      <c r="K24" s="42"/>
      <c r="L24" s="42"/>
    </row>
    <row r="25" spans="2:10" s="42" customFormat="1" ht="11.25">
      <c r="B25" s="42" t="s">
        <v>356</v>
      </c>
      <c r="C25" s="325" t="s">
        <v>437</v>
      </c>
      <c r="D25" s="325"/>
      <c r="E25" s="325"/>
      <c r="F25" s="325"/>
      <c r="G25" s="325"/>
      <c r="H25" s="29">
        <f>H26+H27+H28+H29+H30</f>
        <v>9902872</v>
      </c>
      <c r="I25" s="29">
        <f>I26+I27+I28+I29+I30</f>
        <v>-300353</v>
      </c>
      <c r="J25" s="29">
        <f>J26+J27+J28+J29+J30</f>
        <v>9602519</v>
      </c>
    </row>
    <row r="26" spans="2:10" s="208" customFormat="1" ht="12.75" customHeight="1">
      <c r="B26" s="198" t="s">
        <v>357</v>
      </c>
      <c r="C26" s="332" t="s">
        <v>358</v>
      </c>
      <c r="D26" s="332"/>
      <c r="E26" s="332"/>
      <c r="F26" s="332"/>
      <c r="G26" s="332"/>
      <c r="H26" s="103">
        <v>1591770</v>
      </c>
      <c r="I26" s="103"/>
      <c r="J26" s="103">
        <f aca="true" t="shared" si="0" ref="J26:J35">SUM(H26:I26)</f>
        <v>1591770</v>
      </c>
    </row>
    <row r="27" spans="2:10" s="208" customFormat="1" ht="12.75" customHeight="1">
      <c r="B27" s="198" t="s">
        <v>359</v>
      </c>
      <c r="C27" s="332" t="s">
        <v>360</v>
      </c>
      <c r="D27" s="332"/>
      <c r="E27" s="332"/>
      <c r="F27" s="332"/>
      <c r="G27" s="332"/>
      <c r="H27" s="103">
        <v>16308</v>
      </c>
      <c r="I27" s="103"/>
      <c r="J27" s="103">
        <f t="shared" si="0"/>
        <v>16308</v>
      </c>
    </row>
    <row r="28" spans="2:10" s="208" customFormat="1" ht="41.25" customHeight="1">
      <c r="B28" s="209" t="s">
        <v>361</v>
      </c>
      <c r="C28" s="333" t="s">
        <v>362</v>
      </c>
      <c r="D28" s="333"/>
      <c r="E28" s="333"/>
      <c r="F28" s="333"/>
      <c r="G28" s="333"/>
      <c r="H28" s="210">
        <v>7447677</v>
      </c>
      <c r="I28" s="210">
        <v>-300353</v>
      </c>
      <c r="J28" s="210">
        <f t="shared" si="0"/>
        <v>7147324</v>
      </c>
    </row>
    <row r="29" spans="2:10" s="208" customFormat="1" ht="35.25" customHeight="1">
      <c r="B29" s="209" t="s">
        <v>363</v>
      </c>
      <c r="C29" s="333" t="s">
        <v>364</v>
      </c>
      <c r="D29" s="333"/>
      <c r="E29" s="333"/>
      <c r="F29" s="333"/>
      <c r="G29" s="333"/>
      <c r="H29" s="210">
        <v>461016</v>
      </c>
      <c r="I29" s="210"/>
      <c r="J29" s="210">
        <f t="shared" si="0"/>
        <v>461016</v>
      </c>
    </row>
    <row r="30" spans="2:10" s="208" customFormat="1" ht="12" customHeight="1">
      <c r="B30" s="209" t="s">
        <v>365</v>
      </c>
      <c r="C30" s="336" t="s">
        <v>366</v>
      </c>
      <c r="D30" s="336"/>
      <c r="E30" s="336"/>
      <c r="F30" s="336"/>
      <c r="G30" s="336"/>
      <c r="H30" s="263">
        <v>386101</v>
      </c>
      <c r="I30" s="263"/>
      <c r="J30" s="263">
        <f t="shared" si="0"/>
        <v>386101</v>
      </c>
    </row>
    <row r="31" spans="2:10" s="42" customFormat="1" ht="12" customHeight="1">
      <c r="B31" s="203" t="s">
        <v>367</v>
      </c>
      <c r="C31" s="331" t="s">
        <v>368</v>
      </c>
      <c r="D31" s="331"/>
      <c r="E31" s="331"/>
      <c r="F31" s="331"/>
      <c r="G31" s="331"/>
      <c r="H31" s="83">
        <v>392106</v>
      </c>
      <c r="I31" s="83"/>
      <c r="J31" s="83">
        <f t="shared" si="0"/>
        <v>392106</v>
      </c>
    </row>
    <row r="32" spans="2:10" s="112" customFormat="1" ht="12.75" customHeight="1">
      <c r="B32" s="203" t="s">
        <v>369</v>
      </c>
      <c r="C32" s="331" t="s">
        <v>436</v>
      </c>
      <c r="D32" s="331"/>
      <c r="E32" s="331"/>
      <c r="F32" s="331"/>
      <c r="G32" s="331"/>
      <c r="H32" s="266">
        <v>1556051</v>
      </c>
      <c r="I32" s="266">
        <v>15000</v>
      </c>
      <c r="J32" s="266">
        <f t="shared" si="0"/>
        <v>1571051</v>
      </c>
    </row>
    <row r="33" spans="2:10" s="112" customFormat="1" ht="12" customHeight="1">
      <c r="B33" s="203" t="s">
        <v>370</v>
      </c>
      <c r="C33" s="331" t="s">
        <v>435</v>
      </c>
      <c r="D33" s="331"/>
      <c r="E33" s="331"/>
      <c r="F33" s="331"/>
      <c r="G33" s="331"/>
      <c r="H33" s="264">
        <v>600000</v>
      </c>
      <c r="I33" s="264">
        <v>1336000</v>
      </c>
      <c r="J33" s="264">
        <f t="shared" si="0"/>
        <v>1936000</v>
      </c>
    </row>
    <row r="34" spans="2:10" s="112" customFormat="1" ht="25.5" customHeight="1">
      <c r="B34" s="203" t="s">
        <v>451</v>
      </c>
      <c r="C34" s="331" t="s">
        <v>478</v>
      </c>
      <c r="D34" s="331"/>
      <c r="E34" s="331"/>
      <c r="F34" s="331"/>
      <c r="G34" s="331"/>
      <c r="H34" s="264">
        <v>0</v>
      </c>
      <c r="I34" s="264">
        <f>88332</f>
        <v>88332</v>
      </c>
      <c r="J34" s="264">
        <f>SUM(H34:I34)</f>
        <v>88332</v>
      </c>
    </row>
    <row r="35" spans="2:10" s="112" customFormat="1" ht="12" customHeight="1">
      <c r="B35" s="281" t="s">
        <v>371</v>
      </c>
      <c r="C35" s="334" t="s">
        <v>372</v>
      </c>
      <c r="D35" s="334"/>
      <c r="E35" s="334"/>
      <c r="F35" s="334"/>
      <c r="G35" s="334"/>
      <c r="H35" s="282">
        <v>235000</v>
      </c>
      <c r="I35" s="282"/>
      <c r="J35" s="282">
        <f t="shared" si="0"/>
        <v>235000</v>
      </c>
    </row>
    <row r="36" spans="2:10" s="69" customFormat="1" ht="15.75" customHeight="1">
      <c r="B36" s="212"/>
      <c r="C36" s="335" t="s">
        <v>433</v>
      </c>
      <c r="D36" s="335"/>
      <c r="E36" s="335"/>
      <c r="F36" s="335"/>
      <c r="G36" s="335"/>
      <c r="H36" s="11">
        <f>H37</f>
        <v>1674970</v>
      </c>
      <c r="I36" s="11">
        <f>I37</f>
        <v>0</v>
      </c>
      <c r="J36" s="11">
        <f>J37</f>
        <v>1674970</v>
      </c>
    </row>
    <row r="37" spans="2:10" s="112" customFormat="1" ht="21.75" customHeight="1">
      <c r="B37" s="203" t="s">
        <v>373</v>
      </c>
      <c r="C37" s="331" t="s">
        <v>374</v>
      </c>
      <c r="D37" s="331"/>
      <c r="E37" s="331"/>
      <c r="F37" s="331"/>
      <c r="G37" s="331"/>
      <c r="H37" s="264">
        <v>1674970</v>
      </c>
      <c r="I37" s="264"/>
      <c r="J37" s="264">
        <f>SUM(H37:I37)</f>
        <v>1674970</v>
      </c>
    </row>
    <row r="38" spans="2:10" s="213" customFormat="1" ht="9" customHeight="1">
      <c r="B38" s="209"/>
      <c r="C38" s="205"/>
      <c r="D38" s="205"/>
      <c r="E38" s="205"/>
      <c r="F38" s="205"/>
      <c r="G38" s="205"/>
      <c r="H38" s="214"/>
      <c r="I38" s="214"/>
      <c r="J38" s="214"/>
    </row>
    <row r="39" spans="2:10" s="215" customFormat="1" ht="21" customHeight="1">
      <c r="B39" s="216"/>
      <c r="C39" s="337" t="s">
        <v>375</v>
      </c>
      <c r="D39" s="337"/>
      <c r="E39" s="337"/>
      <c r="F39" s="337"/>
      <c r="G39" s="337"/>
      <c r="H39" s="192">
        <f>SUM(H40:H48)</f>
        <v>40695050</v>
      </c>
      <c r="I39" s="192">
        <f>SUM(I40:I48)</f>
        <v>1445266</v>
      </c>
      <c r="J39" s="192">
        <f>SUM(J40:J48)</f>
        <v>42140316</v>
      </c>
    </row>
    <row r="40" spans="2:10" s="202" customFormat="1" ht="12">
      <c r="B40" s="24" t="s">
        <v>205</v>
      </c>
      <c r="C40" s="325" t="s">
        <v>121</v>
      </c>
      <c r="D40" s="325"/>
      <c r="E40" s="325"/>
      <c r="F40" s="325"/>
      <c r="G40" s="325"/>
      <c r="H40" s="29">
        <v>3831763</v>
      </c>
      <c r="I40" s="29">
        <f>-307149-8325-3162</f>
        <v>-318636</v>
      </c>
      <c r="J40" s="29">
        <f>SUM(H40:I40)</f>
        <v>3513127</v>
      </c>
    </row>
    <row r="41" spans="2:10" s="202" customFormat="1" ht="12">
      <c r="B41" s="24" t="s">
        <v>18</v>
      </c>
      <c r="C41" s="325" t="s">
        <v>130</v>
      </c>
      <c r="D41" s="325"/>
      <c r="E41" s="325"/>
      <c r="F41" s="325"/>
      <c r="G41" s="325"/>
      <c r="H41" s="29">
        <v>686539</v>
      </c>
      <c r="I41" s="29"/>
      <c r="J41" s="29">
        <f>SUM(H41:I41)</f>
        <v>686539</v>
      </c>
    </row>
    <row r="42" spans="2:10" s="202" customFormat="1" ht="12">
      <c r="B42" s="24" t="s">
        <v>22</v>
      </c>
      <c r="C42" s="325" t="s">
        <v>134</v>
      </c>
      <c r="D42" s="325"/>
      <c r="E42" s="325"/>
      <c r="F42" s="325"/>
      <c r="G42" s="325"/>
      <c r="H42" s="29">
        <v>3170777</v>
      </c>
      <c r="I42" s="29">
        <v>109676</v>
      </c>
      <c r="J42" s="29">
        <f>SUM(H42:I42)</f>
        <v>3280453</v>
      </c>
    </row>
    <row r="43" spans="2:10" s="202" customFormat="1" ht="12">
      <c r="B43" s="24" t="s">
        <v>40</v>
      </c>
      <c r="C43" s="325" t="s">
        <v>142</v>
      </c>
      <c r="D43" s="325"/>
      <c r="E43" s="325"/>
      <c r="F43" s="325"/>
      <c r="G43" s="325"/>
      <c r="H43" s="29">
        <v>1664373</v>
      </c>
      <c r="I43" s="29"/>
      <c r="J43" s="29">
        <f aca="true" t="shared" si="1" ref="J43:J48">SUM(H43:I43)</f>
        <v>1664373</v>
      </c>
    </row>
    <row r="44" spans="2:10" s="202" customFormat="1" ht="12">
      <c r="B44" s="24" t="s">
        <v>45</v>
      </c>
      <c r="C44" s="325" t="s">
        <v>376</v>
      </c>
      <c r="D44" s="325"/>
      <c r="E44" s="325"/>
      <c r="F44" s="325"/>
      <c r="G44" s="325"/>
      <c r="H44" s="29">
        <v>2416746</v>
      </c>
      <c r="I44" s="29">
        <f>236999+3162</f>
        <v>240161</v>
      </c>
      <c r="J44" s="29">
        <f t="shared" si="1"/>
        <v>2656907</v>
      </c>
    </row>
    <row r="45" spans="2:10" s="202" customFormat="1" ht="12">
      <c r="B45" s="24" t="s">
        <v>60</v>
      </c>
      <c r="C45" s="325" t="s">
        <v>155</v>
      </c>
      <c r="D45" s="325"/>
      <c r="E45" s="325"/>
      <c r="F45" s="325"/>
      <c r="G45" s="325"/>
      <c r="H45" s="29">
        <v>1567315</v>
      </c>
      <c r="I45" s="29"/>
      <c r="J45" s="29">
        <f t="shared" si="1"/>
        <v>1567315</v>
      </c>
    </row>
    <row r="46" spans="2:10" s="202" customFormat="1" ht="12">
      <c r="B46" s="24" t="s">
        <v>69</v>
      </c>
      <c r="C46" s="325" t="s">
        <v>196</v>
      </c>
      <c r="D46" s="325"/>
      <c r="E46" s="325"/>
      <c r="F46" s="325"/>
      <c r="G46" s="325"/>
      <c r="H46" s="29">
        <v>2473670</v>
      </c>
      <c r="I46" s="29">
        <f>315000+8325</f>
        <v>323325</v>
      </c>
      <c r="J46" s="29">
        <f t="shared" si="1"/>
        <v>2796995</v>
      </c>
    </row>
    <row r="47" spans="2:10" s="202" customFormat="1" ht="12">
      <c r="B47" s="24" t="s">
        <v>93</v>
      </c>
      <c r="C47" s="325" t="s">
        <v>23</v>
      </c>
      <c r="D47" s="325"/>
      <c r="E47" s="325"/>
      <c r="F47" s="325"/>
      <c r="G47" s="325"/>
      <c r="H47" s="29">
        <f>21426983+5150</f>
        <v>21432133</v>
      </c>
      <c r="I47" s="29">
        <f>1038000+5934</f>
        <v>1043934</v>
      </c>
      <c r="J47" s="29">
        <f t="shared" si="1"/>
        <v>22476067</v>
      </c>
    </row>
    <row r="48" spans="2:10" s="202" customFormat="1" ht="12">
      <c r="B48" s="267" t="s">
        <v>160</v>
      </c>
      <c r="C48" s="325" t="s">
        <v>230</v>
      </c>
      <c r="D48" s="325"/>
      <c r="E48" s="325"/>
      <c r="F48" s="325"/>
      <c r="G48" s="325"/>
      <c r="H48" s="29">
        <v>3451734</v>
      </c>
      <c r="I48" s="29">
        <f>46806</f>
        <v>46806</v>
      </c>
      <c r="J48" s="29">
        <f t="shared" si="1"/>
        <v>3498540</v>
      </c>
    </row>
    <row r="49" spans="2:10" s="213" customFormat="1" ht="8.25" customHeight="1">
      <c r="B49" s="209"/>
      <c r="C49" s="205"/>
      <c r="D49" s="205"/>
      <c r="E49" s="205"/>
      <c r="F49" s="205"/>
      <c r="G49" s="205"/>
      <c r="H49" s="214"/>
      <c r="I49" s="214"/>
      <c r="J49" s="214"/>
    </row>
    <row r="50" spans="2:10" s="215" customFormat="1" ht="21" customHeight="1">
      <c r="B50" s="216"/>
      <c r="C50" s="328" t="s">
        <v>434</v>
      </c>
      <c r="D50" s="328"/>
      <c r="E50" s="328"/>
      <c r="F50" s="328"/>
      <c r="G50" s="328"/>
      <c r="H50" s="192">
        <f>H9-H39</f>
        <v>-902810</v>
      </c>
      <c r="I50" s="192">
        <f>I9-I39</f>
        <v>0</v>
      </c>
      <c r="J50" s="192">
        <f>J9-J39</f>
        <v>-902810</v>
      </c>
    </row>
    <row r="51" spans="3:10" s="217" customFormat="1" ht="14.25">
      <c r="C51" s="338" t="s">
        <v>377</v>
      </c>
      <c r="D51" s="338"/>
      <c r="E51" s="338"/>
      <c r="F51" s="338"/>
      <c r="G51" s="338"/>
      <c r="H51" s="218">
        <f>H52</f>
        <v>902810</v>
      </c>
      <c r="I51" s="218">
        <f>I52</f>
        <v>0</v>
      </c>
      <c r="J51" s="218">
        <f>J52</f>
        <v>902810</v>
      </c>
    </row>
    <row r="52" spans="3:10" s="195" customFormat="1" ht="10.5">
      <c r="C52" s="330" t="s">
        <v>378</v>
      </c>
      <c r="D52" s="330"/>
      <c r="E52" s="330"/>
      <c r="F52" s="330"/>
      <c r="G52" s="330"/>
      <c r="H52" s="196">
        <f>H53+H57+H59</f>
        <v>902810</v>
      </c>
      <c r="I52" s="196">
        <f>I53+I57+I59</f>
        <v>0</v>
      </c>
      <c r="J52" s="196">
        <f>J53+J57+J59</f>
        <v>902810</v>
      </c>
    </row>
    <row r="53" spans="3:10" s="42" customFormat="1" ht="11.25">
      <c r="C53" s="325" t="s">
        <v>331</v>
      </c>
      <c r="D53" s="325"/>
      <c r="E53" s="325"/>
      <c r="F53" s="325"/>
      <c r="G53" s="325"/>
      <c r="H53" s="29">
        <f>H54+H55</f>
        <v>-78728</v>
      </c>
      <c r="I53" s="29">
        <f>I54+I55</f>
        <v>0</v>
      </c>
      <c r="J53" s="29">
        <f>J54+J55</f>
        <v>-78728</v>
      </c>
    </row>
    <row r="54" spans="3:10" s="219" customFormat="1" ht="1.5" customHeight="1" hidden="1">
      <c r="C54" s="220"/>
      <c r="D54" s="339" t="s">
        <v>379</v>
      </c>
      <c r="E54" s="339"/>
      <c r="F54" s="339"/>
      <c r="G54" s="339"/>
      <c r="H54" s="199"/>
      <c r="I54" s="199"/>
      <c r="J54" s="199"/>
    </row>
    <row r="55" spans="3:10" s="219" customFormat="1" ht="10.5">
      <c r="C55" s="220"/>
      <c r="D55" s="339" t="s">
        <v>380</v>
      </c>
      <c r="E55" s="339"/>
      <c r="F55" s="339"/>
      <c r="G55" s="339"/>
      <c r="H55" s="199">
        <v>-78728</v>
      </c>
      <c r="I55" s="199"/>
      <c r="J55" s="199">
        <f>SUM(H55:I55)</f>
        <v>-78728</v>
      </c>
    </row>
    <row r="56" spans="3:10" s="42" customFormat="1" ht="11.25">
      <c r="C56" s="325" t="s">
        <v>381</v>
      </c>
      <c r="D56" s="325"/>
      <c r="E56" s="325"/>
      <c r="F56" s="325"/>
      <c r="G56" s="325"/>
      <c r="H56" s="29"/>
      <c r="I56" s="29"/>
      <c r="J56" s="29"/>
    </row>
    <row r="57" spans="3:10" s="219" customFormat="1" ht="10.5">
      <c r="C57" s="220"/>
      <c r="D57" s="339" t="s">
        <v>296</v>
      </c>
      <c r="E57" s="339"/>
      <c r="F57" s="339"/>
      <c r="G57" s="339"/>
      <c r="H57" s="199">
        <v>1369926</v>
      </c>
      <c r="I57" s="199"/>
      <c r="J57" s="199">
        <f>SUM(H57:I57)</f>
        <v>1369926</v>
      </c>
    </row>
    <row r="58" spans="3:10" s="219" customFormat="1" ht="10.5">
      <c r="C58" s="220"/>
      <c r="D58" s="339" t="s">
        <v>297</v>
      </c>
      <c r="E58" s="339"/>
      <c r="F58" s="339"/>
      <c r="G58" s="339"/>
      <c r="H58" s="199"/>
      <c r="I58" s="199"/>
      <c r="J58" s="199"/>
    </row>
    <row r="59" spans="3:10" s="42" customFormat="1" ht="11.25">
      <c r="C59" s="325" t="s">
        <v>332</v>
      </c>
      <c r="D59" s="325"/>
      <c r="E59" s="325"/>
      <c r="F59" s="325"/>
      <c r="G59" s="325"/>
      <c r="H59" s="29">
        <v>-388388</v>
      </c>
      <c r="I59" s="29"/>
      <c r="J59" s="29">
        <f>SUM(H59:I59)</f>
        <v>-388388</v>
      </c>
    </row>
    <row r="63" spans="2:10" s="1" customFormat="1" ht="12.75">
      <c r="B63" s="1" t="s">
        <v>203</v>
      </c>
      <c r="H63" s="4" t="s">
        <v>204</v>
      </c>
      <c r="I63" s="4"/>
      <c r="J63" s="4"/>
    </row>
    <row r="80" ht="11.25">
      <c r="G80" s="221"/>
    </row>
    <row r="86" ht="11.25">
      <c r="F86" s="20"/>
    </row>
  </sheetData>
  <mergeCells count="51">
    <mergeCell ref="C56:G56"/>
    <mergeCell ref="D57:G57"/>
    <mergeCell ref="D58:G58"/>
    <mergeCell ref="C59:G59"/>
    <mergeCell ref="C52:G52"/>
    <mergeCell ref="C53:G53"/>
    <mergeCell ref="D54:G54"/>
    <mergeCell ref="D55:G55"/>
    <mergeCell ref="C47:G47"/>
    <mergeCell ref="C48:G48"/>
    <mergeCell ref="C50:G50"/>
    <mergeCell ref="C51:G51"/>
    <mergeCell ref="C43:G43"/>
    <mergeCell ref="C44:G44"/>
    <mergeCell ref="C45:G45"/>
    <mergeCell ref="C46:G46"/>
    <mergeCell ref="C39:G39"/>
    <mergeCell ref="C40:G40"/>
    <mergeCell ref="C41:G41"/>
    <mergeCell ref="C42:G42"/>
    <mergeCell ref="C29:G29"/>
    <mergeCell ref="C35:G35"/>
    <mergeCell ref="C36:G36"/>
    <mergeCell ref="C37:G37"/>
    <mergeCell ref="C30:G30"/>
    <mergeCell ref="C31:G31"/>
    <mergeCell ref="C32:G32"/>
    <mergeCell ref="C33:G33"/>
    <mergeCell ref="C34:G34"/>
    <mergeCell ref="C25:G25"/>
    <mergeCell ref="C26:G26"/>
    <mergeCell ref="C27:G27"/>
    <mergeCell ref="C28:G28"/>
    <mergeCell ref="C10:G10"/>
    <mergeCell ref="C22:G22"/>
    <mergeCell ref="C23:G23"/>
    <mergeCell ref="C24:G24"/>
    <mergeCell ref="C21:G21"/>
    <mergeCell ref="C20:G20"/>
    <mergeCell ref="C19:G19"/>
    <mergeCell ref="C18:G18"/>
    <mergeCell ref="B6:I6"/>
    <mergeCell ref="C16:G16"/>
    <mergeCell ref="C17:G17"/>
    <mergeCell ref="C15:G15"/>
    <mergeCell ref="C13:G13"/>
    <mergeCell ref="C14:G14"/>
    <mergeCell ref="C11:G11"/>
    <mergeCell ref="C12:G12"/>
    <mergeCell ref="C8:G8"/>
    <mergeCell ref="C9:G9"/>
  </mergeCells>
  <printOptions/>
  <pageMargins left="0.47" right="0.19" top="0.27" bottom="0.26" header="0.17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8"/>
  <sheetViews>
    <sheetView zoomScale="120" zoomScaleNormal="120" workbookViewId="0" topLeftCell="A1">
      <selection activeCell="C22" sqref="C22:G22"/>
    </sheetView>
  </sheetViews>
  <sheetFormatPr defaultColWidth="9.140625" defaultRowHeight="12.75"/>
  <cols>
    <col min="1" max="1" width="4.28125" style="1" customWidth="1"/>
    <col min="2" max="2" width="10.8515625" style="1" customWidth="1"/>
    <col min="3" max="3" width="3.7109375" style="1" customWidth="1"/>
    <col min="4" max="5" width="9.140625" style="1" customWidth="1"/>
    <col min="6" max="6" width="10.28125" style="1" customWidth="1"/>
    <col min="7" max="7" width="19.140625" style="1" customWidth="1"/>
    <col min="8" max="8" width="10.57421875" style="4" customWidth="1"/>
    <col min="9" max="9" width="10.00390625" style="4" customWidth="1"/>
    <col min="10" max="10" width="10.140625" style="4" customWidth="1"/>
    <col min="11" max="16384" width="9.140625" style="1" customWidth="1"/>
  </cols>
  <sheetData>
    <row r="1" spans="8:10" ht="17.25" customHeight="1">
      <c r="H1" s="2"/>
      <c r="I1" s="2" t="s">
        <v>0</v>
      </c>
      <c r="J1" s="2"/>
    </row>
    <row r="2" spans="8:10" ht="12.75">
      <c r="H2" s="3"/>
      <c r="I2" s="3" t="s">
        <v>439</v>
      </c>
      <c r="J2" s="3"/>
    </row>
    <row r="3" spans="8:10" ht="12.75">
      <c r="H3" s="3"/>
      <c r="I3" s="3" t="s">
        <v>494</v>
      </c>
      <c r="J3" s="3"/>
    </row>
    <row r="4" spans="8:10" ht="12.75">
      <c r="H4" s="3"/>
      <c r="I4" s="3" t="s">
        <v>495</v>
      </c>
      <c r="J4" s="3"/>
    </row>
    <row r="5" ht="12" customHeight="1"/>
    <row r="6" spans="2:9" s="5" customFormat="1" ht="36.75" customHeight="1">
      <c r="B6" s="293" t="s">
        <v>120</v>
      </c>
      <c r="C6" s="293"/>
      <c r="D6" s="293"/>
      <c r="E6" s="293"/>
      <c r="F6" s="293"/>
      <c r="G6" s="293"/>
      <c r="H6" s="293"/>
      <c r="I6" s="293"/>
    </row>
    <row r="7" ht="12.75" customHeight="1"/>
    <row r="8" spans="2:10" s="6" customFormat="1" ht="50.25" customHeight="1">
      <c r="B8" s="7" t="s">
        <v>1</v>
      </c>
      <c r="C8" s="327" t="s">
        <v>2</v>
      </c>
      <c r="D8" s="327"/>
      <c r="E8" s="327"/>
      <c r="F8" s="327"/>
      <c r="G8" s="327"/>
      <c r="H8" s="8" t="s">
        <v>442</v>
      </c>
      <c r="I8" s="8" t="s">
        <v>440</v>
      </c>
      <c r="J8" s="8" t="s">
        <v>441</v>
      </c>
    </row>
    <row r="9" spans="2:10" s="9" customFormat="1" ht="12.75" customHeight="1">
      <c r="B9" s="10"/>
      <c r="C9" s="10"/>
      <c r="D9" s="10"/>
      <c r="E9" s="10"/>
      <c r="F9" s="10"/>
      <c r="G9" s="10"/>
      <c r="H9" s="11"/>
      <c r="I9" s="11"/>
      <c r="J9" s="11"/>
    </row>
    <row r="10" spans="2:10" s="12" customFormat="1" ht="12.75">
      <c r="B10" s="13" t="s">
        <v>122</v>
      </c>
      <c r="C10" s="303" t="s">
        <v>121</v>
      </c>
      <c r="D10" s="303"/>
      <c r="E10" s="303"/>
      <c r="F10" s="303"/>
      <c r="G10" s="303"/>
      <c r="H10" s="14">
        <f>H13+H47+H53+H59+H79+H86+H91+H67+H73</f>
        <v>3831763</v>
      </c>
      <c r="I10" s="14">
        <f>I13+I47+I53+I59+I79+I86+I91+I67+I73</f>
        <v>-318636</v>
      </c>
      <c r="J10" s="14">
        <f>J13+J47+J53+J59+J79+J86+J91+J67+J73</f>
        <v>3513127</v>
      </c>
    </row>
    <row r="11" spans="3:10" s="12" customFormat="1" ht="12.75">
      <c r="C11" s="15"/>
      <c r="D11" s="15"/>
      <c r="E11" s="15"/>
      <c r="F11" s="15"/>
      <c r="G11" s="15"/>
      <c r="H11" s="16"/>
      <c r="I11" s="16"/>
      <c r="J11" s="16"/>
    </row>
    <row r="12" spans="2:10" s="17" customFormat="1" ht="12">
      <c r="B12" s="18" t="s">
        <v>205</v>
      </c>
      <c r="C12" s="304" t="s">
        <v>3</v>
      </c>
      <c r="D12" s="304"/>
      <c r="E12" s="304"/>
      <c r="F12" s="304"/>
      <c r="G12" s="304"/>
      <c r="H12" s="19"/>
      <c r="I12" s="19"/>
      <c r="J12" s="19"/>
    </row>
    <row r="13" spans="2:10" s="20" customFormat="1" ht="10.5">
      <c r="B13" s="21"/>
      <c r="C13" s="330" t="s">
        <v>4</v>
      </c>
      <c r="D13" s="330"/>
      <c r="E13" s="330"/>
      <c r="F13" s="330"/>
      <c r="G13" s="330"/>
      <c r="H13" s="23">
        <f>H23+H33+H40</f>
        <v>2565541</v>
      </c>
      <c r="I13" s="23">
        <f>I23+I33+I40</f>
        <v>0</v>
      </c>
      <c r="J13" s="23">
        <f>J23+J33+J40</f>
        <v>2565541</v>
      </c>
    </row>
    <row r="14" spans="2:10" s="20" customFormat="1" ht="11.25">
      <c r="B14" s="21"/>
      <c r="C14" s="325" t="s">
        <v>5</v>
      </c>
      <c r="D14" s="325"/>
      <c r="E14" s="325"/>
      <c r="F14" s="325"/>
      <c r="G14" s="325"/>
      <c r="H14" s="25">
        <f>SUM(H24)</f>
        <v>47981</v>
      </c>
      <c r="I14" s="25">
        <f>SUM(I24)</f>
        <v>0</v>
      </c>
      <c r="J14" s="25">
        <f>SUM(J24)</f>
        <v>47981</v>
      </c>
    </row>
    <row r="15" spans="2:10" s="26" customFormat="1" ht="11.25">
      <c r="B15" s="27"/>
      <c r="C15" s="325" t="s">
        <v>6</v>
      </c>
      <c r="D15" s="325"/>
      <c r="E15" s="325"/>
      <c r="F15" s="325"/>
      <c r="G15" s="325"/>
      <c r="H15" s="25">
        <f>H25+H34+H41</f>
        <v>2417124</v>
      </c>
      <c r="I15" s="25">
        <f>I25+I34+I41</f>
        <v>0</v>
      </c>
      <c r="J15" s="25">
        <f>J25+J34+J41</f>
        <v>2417124</v>
      </c>
    </row>
    <row r="16" spans="2:10" s="26" customFormat="1" ht="11.25">
      <c r="B16" s="27"/>
      <c r="C16" s="325" t="s">
        <v>7</v>
      </c>
      <c r="D16" s="325"/>
      <c r="E16" s="325"/>
      <c r="F16" s="325"/>
      <c r="G16" s="325"/>
      <c r="H16" s="25">
        <f>H26</f>
        <v>100436</v>
      </c>
      <c r="I16" s="25">
        <f>I26</f>
        <v>0</v>
      </c>
      <c r="J16" s="25">
        <f>J26</f>
        <v>100436</v>
      </c>
    </row>
    <row r="17" spans="2:10" s="20" customFormat="1" ht="10.5">
      <c r="B17" s="21"/>
      <c r="C17" s="330" t="s">
        <v>8</v>
      </c>
      <c r="D17" s="330"/>
      <c r="E17" s="330"/>
      <c r="F17" s="330"/>
      <c r="G17" s="330"/>
      <c r="H17" s="23">
        <f>H18+H20</f>
        <v>2565541</v>
      </c>
      <c r="I17" s="23">
        <f>I18+I20</f>
        <v>0</v>
      </c>
      <c r="J17" s="23">
        <f>J18+J20</f>
        <v>2565541</v>
      </c>
    </row>
    <row r="18" spans="2:10" s="26" customFormat="1" ht="11.25">
      <c r="B18" s="27"/>
      <c r="C18" s="321" t="s">
        <v>11</v>
      </c>
      <c r="D18" s="321"/>
      <c r="E18" s="321"/>
      <c r="F18" s="321"/>
      <c r="G18" s="321"/>
      <c r="H18" s="29">
        <f aca="true" t="shared" si="0" ref="H18:J19">H28+H36+H43</f>
        <v>2458751</v>
      </c>
      <c r="I18" s="29">
        <f t="shared" si="0"/>
        <v>0</v>
      </c>
      <c r="J18" s="29">
        <f t="shared" si="0"/>
        <v>2458751</v>
      </c>
    </row>
    <row r="19" spans="2:10" s="77" customFormat="1" ht="11.25">
      <c r="B19" s="75"/>
      <c r="C19" s="76"/>
      <c r="D19" s="297" t="s">
        <v>206</v>
      </c>
      <c r="E19" s="297"/>
      <c r="F19" s="297"/>
      <c r="G19" s="297"/>
      <c r="H19" s="103">
        <f t="shared" si="0"/>
        <v>1376886</v>
      </c>
      <c r="I19" s="103">
        <f t="shared" si="0"/>
        <v>0</v>
      </c>
      <c r="J19" s="103">
        <f t="shared" si="0"/>
        <v>1376886</v>
      </c>
    </row>
    <row r="20" spans="2:10" s="26" customFormat="1" ht="11.25">
      <c r="B20" s="27"/>
      <c r="C20" s="321" t="s">
        <v>124</v>
      </c>
      <c r="D20" s="321"/>
      <c r="E20" s="321"/>
      <c r="F20" s="321"/>
      <c r="G20" s="321"/>
      <c r="H20" s="29">
        <f>H30</f>
        <v>106790</v>
      </c>
      <c r="I20" s="29">
        <f>I30</f>
        <v>0</v>
      </c>
      <c r="J20" s="29">
        <f>J30</f>
        <v>106790</v>
      </c>
    </row>
    <row r="21" spans="2:10" s="26" customFormat="1" ht="11.25">
      <c r="B21" s="27"/>
      <c r="C21" s="28"/>
      <c r="D21" s="28"/>
      <c r="E21" s="28"/>
      <c r="F21" s="28"/>
      <c r="G21" s="28"/>
      <c r="H21" s="29"/>
      <c r="I21" s="29"/>
      <c r="J21" s="29"/>
    </row>
    <row r="22" spans="2:10" s="26" customFormat="1" ht="11.25">
      <c r="B22" s="27" t="s">
        <v>205</v>
      </c>
      <c r="C22" s="325" t="s">
        <v>10</v>
      </c>
      <c r="D22" s="325"/>
      <c r="E22" s="325"/>
      <c r="F22" s="325"/>
      <c r="G22" s="325"/>
      <c r="H22" s="25"/>
      <c r="I22" s="25"/>
      <c r="J22" s="25"/>
    </row>
    <row r="23" spans="2:10" s="20" customFormat="1" ht="10.5">
      <c r="B23" s="21"/>
      <c r="C23" s="330" t="s">
        <v>4</v>
      </c>
      <c r="D23" s="330"/>
      <c r="E23" s="330"/>
      <c r="F23" s="330"/>
      <c r="G23" s="330"/>
      <c r="H23" s="23">
        <f>H24+H25+H26</f>
        <v>2363041</v>
      </c>
      <c r="I23" s="23">
        <f>I24+I25+I26</f>
        <v>0</v>
      </c>
      <c r="J23" s="23">
        <f>J24+J25+J26</f>
        <v>2363041</v>
      </c>
    </row>
    <row r="24" spans="2:10" s="20" customFormat="1" ht="11.25">
      <c r="B24" s="21"/>
      <c r="C24" s="325" t="s">
        <v>5</v>
      </c>
      <c r="D24" s="325"/>
      <c r="E24" s="325"/>
      <c r="F24" s="325"/>
      <c r="G24" s="325"/>
      <c r="H24" s="25">
        <v>47981</v>
      </c>
      <c r="I24" s="25"/>
      <c r="J24" s="25">
        <f>SUM(H24:I24)</f>
        <v>47981</v>
      </c>
    </row>
    <row r="25" spans="2:10" s="26" customFormat="1" ht="11.25">
      <c r="B25" s="27"/>
      <c r="C25" s="325" t="s">
        <v>6</v>
      </c>
      <c r="D25" s="325"/>
      <c r="E25" s="325"/>
      <c r="F25" s="325"/>
      <c r="G25" s="325"/>
      <c r="H25" s="25">
        <f>2214624</f>
        <v>2214624</v>
      </c>
      <c r="I25" s="25"/>
      <c r="J25" s="25">
        <f>SUM(H25:I25)</f>
        <v>2214624</v>
      </c>
    </row>
    <row r="26" spans="2:10" s="26" customFormat="1" ht="11.25">
      <c r="B26" s="27"/>
      <c r="C26" s="325" t="s">
        <v>7</v>
      </c>
      <c r="D26" s="325"/>
      <c r="E26" s="325"/>
      <c r="F26" s="325"/>
      <c r="G26" s="325"/>
      <c r="H26" s="25">
        <v>100436</v>
      </c>
      <c r="I26" s="25"/>
      <c r="J26" s="25">
        <f>SUM(H26:I26)</f>
        <v>100436</v>
      </c>
    </row>
    <row r="27" spans="2:10" s="20" customFormat="1" ht="10.5">
      <c r="B27" s="21"/>
      <c r="C27" s="330" t="s">
        <v>8</v>
      </c>
      <c r="D27" s="330"/>
      <c r="E27" s="330"/>
      <c r="F27" s="330"/>
      <c r="G27" s="330"/>
      <c r="H27" s="23">
        <f>H28+H30</f>
        <v>2363041</v>
      </c>
      <c r="I27" s="23">
        <f>I28+I30</f>
        <v>0</v>
      </c>
      <c r="J27" s="23">
        <f>J28+J30</f>
        <v>2363041</v>
      </c>
    </row>
    <row r="28" spans="2:10" s="26" customFormat="1" ht="11.25">
      <c r="B28" s="27"/>
      <c r="C28" s="321" t="s">
        <v>11</v>
      </c>
      <c r="D28" s="321"/>
      <c r="E28" s="321"/>
      <c r="F28" s="321"/>
      <c r="G28" s="321"/>
      <c r="H28" s="25">
        <f>2256251</f>
        <v>2256251</v>
      </c>
      <c r="I28" s="25"/>
      <c r="J28" s="25">
        <f>SUM(H28:I28)</f>
        <v>2256251</v>
      </c>
    </row>
    <row r="29" spans="2:10" s="77" customFormat="1" ht="12" customHeight="1">
      <c r="B29" s="75"/>
      <c r="C29" s="76"/>
      <c r="D29" s="297" t="s">
        <v>206</v>
      </c>
      <c r="E29" s="297"/>
      <c r="F29" s="297"/>
      <c r="G29" s="297"/>
      <c r="H29" s="41">
        <f>1328982+40000</f>
        <v>1368982</v>
      </c>
      <c r="I29" s="41"/>
      <c r="J29" s="41">
        <f>SUM(H29:I29)</f>
        <v>1368982</v>
      </c>
    </row>
    <row r="30" spans="2:10" s="26" customFormat="1" ht="11.25">
      <c r="B30" s="27"/>
      <c r="C30" s="321" t="s">
        <v>124</v>
      </c>
      <c r="D30" s="321"/>
      <c r="E30" s="321"/>
      <c r="F30" s="321"/>
      <c r="G30" s="321"/>
      <c r="H30" s="25">
        <v>106790</v>
      </c>
      <c r="I30" s="25"/>
      <c r="J30" s="25">
        <f>SUM(H30:I30)</f>
        <v>106790</v>
      </c>
    </row>
    <row r="31" spans="2:10" s="26" customFormat="1" ht="11.25">
      <c r="B31" s="27"/>
      <c r="C31" s="28"/>
      <c r="D31" s="28"/>
      <c r="E31" s="28"/>
      <c r="F31" s="28"/>
      <c r="G31" s="28"/>
      <c r="H31" s="25"/>
      <c r="I31" s="25"/>
      <c r="J31" s="25"/>
    </row>
    <row r="32" spans="2:10" s="26" customFormat="1" ht="11.25">
      <c r="B32" s="27" t="s">
        <v>205</v>
      </c>
      <c r="C32" s="325" t="s">
        <v>13</v>
      </c>
      <c r="D32" s="325"/>
      <c r="E32" s="325"/>
      <c r="F32" s="325"/>
      <c r="G32" s="325"/>
      <c r="H32" s="25"/>
      <c r="I32" s="25"/>
      <c r="J32" s="25"/>
    </row>
    <row r="33" spans="2:10" s="20" customFormat="1" ht="10.5">
      <c r="B33" s="21"/>
      <c r="C33" s="330" t="s">
        <v>4</v>
      </c>
      <c r="D33" s="330"/>
      <c r="E33" s="330"/>
      <c r="F33" s="330"/>
      <c r="G33" s="330"/>
      <c r="H33" s="23">
        <f>H34</f>
        <v>80500</v>
      </c>
      <c r="I33" s="23">
        <f>I34</f>
        <v>0</v>
      </c>
      <c r="J33" s="23">
        <f>J34</f>
        <v>80500</v>
      </c>
    </row>
    <row r="34" spans="2:10" s="26" customFormat="1" ht="11.25">
      <c r="B34" s="27"/>
      <c r="C34" s="325" t="s">
        <v>6</v>
      </c>
      <c r="D34" s="325"/>
      <c r="E34" s="325"/>
      <c r="F34" s="325"/>
      <c r="G34" s="325"/>
      <c r="H34" s="25">
        <v>80500</v>
      </c>
      <c r="I34" s="25"/>
      <c r="J34" s="25">
        <f>SUM(H34:I34)</f>
        <v>80500</v>
      </c>
    </row>
    <row r="35" spans="2:10" s="20" customFormat="1" ht="10.5">
      <c r="B35" s="21"/>
      <c r="C35" s="330" t="s">
        <v>8</v>
      </c>
      <c r="D35" s="330"/>
      <c r="E35" s="330"/>
      <c r="F35" s="330"/>
      <c r="G35" s="330"/>
      <c r="H35" s="23">
        <f>H36</f>
        <v>80500</v>
      </c>
      <c r="I35" s="23">
        <f>I36</f>
        <v>0</v>
      </c>
      <c r="J35" s="23">
        <f>J36</f>
        <v>80500</v>
      </c>
    </row>
    <row r="36" spans="3:10" s="26" customFormat="1" ht="11.25">
      <c r="C36" s="321" t="s">
        <v>11</v>
      </c>
      <c r="D36" s="321"/>
      <c r="E36" s="321"/>
      <c r="F36" s="321"/>
      <c r="G36" s="321"/>
      <c r="H36" s="25">
        <v>80500</v>
      </c>
      <c r="I36" s="25"/>
      <c r="J36" s="25">
        <f>SUM(H36:I36)</f>
        <v>80500</v>
      </c>
    </row>
    <row r="37" spans="2:10" s="77" customFormat="1" ht="12" customHeight="1">
      <c r="B37" s="75"/>
      <c r="C37" s="76"/>
      <c r="D37" s="297" t="s">
        <v>206</v>
      </c>
      <c r="E37" s="297"/>
      <c r="F37" s="297"/>
      <c r="G37" s="297"/>
      <c r="H37" s="41">
        <v>6000</v>
      </c>
      <c r="I37" s="41"/>
      <c r="J37" s="41">
        <f>SUM(H37:I37)</f>
        <v>6000</v>
      </c>
    </row>
    <row r="38" spans="8:10" s="26" customFormat="1" ht="12" customHeight="1">
      <c r="H38" s="25"/>
      <c r="I38" s="25"/>
      <c r="J38" s="25"/>
    </row>
    <row r="39" spans="2:10" s="46" customFormat="1" ht="33.75" customHeight="1">
      <c r="B39" s="51" t="s">
        <v>205</v>
      </c>
      <c r="C39" s="302" t="s">
        <v>207</v>
      </c>
      <c r="D39" s="302"/>
      <c r="E39" s="302"/>
      <c r="F39" s="302"/>
      <c r="G39" s="302"/>
      <c r="H39" s="64"/>
      <c r="I39" s="64"/>
      <c r="J39" s="64"/>
    </row>
    <row r="40" spans="2:10" s="20" customFormat="1" ht="10.5">
      <c r="B40" s="21"/>
      <c r="C40" s="330" t="s">
        <v>4</v>
      </c>
      <c r="D40" s="330"/>
      <c r="E40" s="330"/>
      <c r="F40" s="330"/>
      <c r="G40" s="330"/>
      <c r="H40" s="23">
        <f>H41</f>
        <v>122000</v>
      </c>
      <c r="I40" s="23">
        <f>I41</f>
        <v>0</v>
      </c>
      <c r="J40" s="23">
        <f>J41</f>
        <v>122000</v>
      </c>
    </row>
    <row r="41" spans="2:10" s="26" customFormat="1" ht="11.25">
      <c r="B41" s="27"/>
      <c r="C41" s="325" t="s">
        <v>6</v>
      </c>
      <c r="D41" s="325"/>
      <c r="E41" s="325"/>
      <c r="F41" s="325"/>
      <c r="G41" s="325"/>
      <c r="H41" s="25">
        <f>55000+17000+30000+20000</f>
        <v>122000</v>
      </c>
      <c r="I41" s="25"/>
      <c r="J41" s="25">
        <f>SUM(H41:I41)</f>
        <v>122000</v>
      </c>
    </row>
    <row r="42" spans="2:10" s="20" customFormat="1" ht="10.5">
      <c r="B42" s="21"/>
      <c r="C42" s="330" t="s">
        <v>8</v>
      </c>
      <c r="D42" s="330"/>
      <c r="E42" s="330"/>
      <c r="F42" s="330"/>
      <c r="G42" s="330"/>
      <c r="H42" s="23">
        <f>H43</f>
        <v>122000</v>
      </c>
      <c r="I42" s="23">
        <f>I43</f>
        <v>0</v>
      </c>
      <c r="J42" s="23">
        <f>J43</f>
        <v>122000</v>
      </c>
    </row>
    <row r="43" spans="3:10" s="26" customFormat="1" ht="11.25">
      <c r="C43" s="321" t="s">
        <v>11</v>
      </c>
      <c r="D43" s="321"/>
      <c r="E43" s="321"/>
      <c r="F43" s="321"/>
      <c r="G43" s="321"/>
      <c r="H43" s="25">
        <f>55000+17000+30000+20000</f>
        <v>122000</v>
      </c>
      <c r="I43" s="25"/>
      <c r="J43" s="25">
        <f>SUM(H43:I43)</f>
        <v>122000</v>
      </c>
    </row>
    <row r="44" spans="3:10" s="77" customFormat="1" ht="12.75" customHeight="1">
      <c r="C44" s="76"/>
      <c r="D44" s="297" t="s">
        <v>206</v>
      </c>
      <c r="E44" s="297"/>
      <c r="F44" s="297"/>
      <c r="G44" s="297"/>
      <c r="H44" s="41">
        <v>1904</v>
      </c>
      <c r="I44" s="41"/>
      <c r="J44" s="41">
        <f>SUM(H44:I44)</f>
        <v>1904</v>
      </c>
    </row>
    <row r="45" spans="2:10" s="26" customFormat="1" ht="11.25">
      <c r="B45" s="27"/>
      <c r="H45" s="25"/>
      <c r="I45" s="25"/>
      <c r="J45" s="25"/>
    </row>
    <row r="46" spans="2:10" s="26" customFormat="1" ht="11.25">
      <c r="B46" s="31" t="s">
        <v>125</v>
      </c>
      <c r="C46" s="301" t="s">
        <v>14</v>
      </c>
      <c r="D46" s="301"/>
      <c r="E46" s="301"/>
      <c r="F46" s="301"/>
      <c r="G46" s="301"/>
      <c r="H46" s="25"/>
      <c r="I46" s="25"/>
      <c r="J46" s="25"/>
    </row>
    <row r="47" spans="2:10" s="20" customFormat="1" ht="10.5">
      <c r="B47" s="21"/>
      <c r="C47" s="330" t="s">
        <v>4</v>
      </c>
      <c r="D47" s="330"/>
      <c r="E47" s="330"/>
      <c r="F47" s="330"/>
      <c r="G47" s="330"/>
      <c r="H47" s="23">
        <f>H48</f>
        <v>31442</v>
      </c>
      <c r="I47" s="23">
        <f>I48</f>
        <v>0</v>
      </c>
      <c r="J47" s="23">
        <f>J48</f>
        <v>31442</v>
      </c>
    </row>
    <row r="48" spans="2:10" s="26" customFormat="1" ht="11.25">
      <c r="B48" s="27"/>
      <c r="C48" s="325" t="s">
        <v>6</v>
      </c>
      <c r="D48" s="325"/>
      <c r="E48" s="325"/>
      <c r="F48" s="325"/>
      <c r="G48" s="325"/>
      <c r="H48" s="25">
        <v>31442</v>
      </c>
      <c r="I48" s="25"/>
      <c r="J48" s="25">
        <f>SUM(H48:I48)</f>
        <v>31442</v>
      </c>
    </row>
    <row r="49" spans="2:10" s="20" customFormat="1" ht="10.5">
      <c r="B49" s="21"/>
      <c r="C49" s="330" t="s">
        <v>8</v>
      </c>
      <c r="D49" s="330"/>
      <c r="E49" s="330"/>
      <c r="F49" s="330"/>
      <c r="G49" s="330"/>
      <c r="H49" s="23">
        <f>H50</f>
        <v>31442</v>
      </c>
      <c r="I49" s="23">
        <f>I50</f>
        <v>0</v>
      </c>
      <c r="J49" s="23">
        <f>J50</f>
        <v>31442</v>
      </c>
    </row>
    <row r="50" spans="2:10" s="26" customFormat="1" ht="11.25">
      <c r="B50" s="27"/>
      <c r="C50" s="321" t="s">
        <v>11</v>
      </c>
      <c r="D50" s="321"/>
      <c r="E50" s="321"/>
      <c r="F50" s="321"/>
      <c r="G50" s="321"/>
      <c r="H50" s="25">
        <v>31442</v>
      </c>
      <c r="I50" s="25"/>
      <c r="J50" s="25">
        <f>SUM(H50:I50)</f>
        <v>31442</v>
      </c>
    </row>
    <row r="51" spans="2:10" s="26" customFormat="1" ht="11.25">
      <c r="B51" s="27"/>
      <c r="C51" s="28"/>
      <c r="D51" s="28"/>
      <c r="E51" s="28"/>
      <c r="F51" s="28"/>
      <c r="G51" s="28"/>
      <c r="H51" s="25"/>
      <c r="I51" s="25"/>
      <c r="J51" s="25"/>
    </row>
    <row r="52" spans="2:10" s="26" customFormat="1" ht="11.25">
      <c r="B52" s="31" t="s">
        <v>125</v>
      </c>
      <c r="C52" s="301" t="s">
        <v>15</v>
      </c>
      <c r="D52" s="301"/>
      <c r="E52" s="301"/>
      <c r="F52" s="301"/>
      <c r="G52" s="301"/>
      <c r="H52" s="25"/>
      <c r="I52" s="25"/>
      <c r="J52" s="25"/>
    </row>
    <row r="53" spans="2:10" s="20" customFormat="1" ht="10.5">
      <c r="B53" s="21"/>
      <c r="C53" s="330" t="s">
        <v>4</v>
      </c>
      <c r="D53" s="330"/>
      <c r="E53" s="330"/>
      <c r="F53" s="330"/>
      <c r="G53" s="330"/>
      <c r="H53" s="23">
        <f>H54</f>
        <v>9000</v>
      </c>
      <c r="I53" s="23">
        <f>I54</f>
        <v>0</v>
      </c>
      <c r="J53" s="23">
        <f>J54</f>
        <v>9000</v>
      </c>
    </row>
    <row r="54" spans="2:10" s="26" customFormat="1" ht="11.25">
      <c r="B54" s="27"/>
      <c r="C54" s="325" t="s">
        <v>6</v>
      </c>
      <c r="D54" s="325"/>
      <c r="E54" s="325"/>
      <c r="F54" s="325"/>
      <c r="G54" s="325"/>
      <c r="H54" s="25">
        <v>9000</v>
      </c>
      <c r="I54" s="25"/>
      <c r="J54" s="25">
        <f>SUM(H54:I54)</f>
        <v>9000</v>
      </c>
    </row>
    <row r="55" spans="2:10" s="20" customFormat="1" ht="10.5">
      <c r="B55" s="21"/>
      <c r="C55" s="330" t="s">
        <v>8</v>
      </c>
      <c r="D55" s="330"/>
      <c r="E55" s="330"/>
      <c r="F55" s="330"/>
      <c r="G55" s="330"/>
      <c r="H55" s="23">
        <f>H56</f>
        <v>9000</v>
      </c>
      <c r="I55" s="23">
        <f>I56</f>
        <v>0</v>
      </c>
      <c r="J55" s="23">
        <f>J56</f>
        <v>9000</v>
      </c>
    </row>
    <row r="56" spans="2:10" s="26" customFormat="1" ht="11.25">
      <c r="B56" s="27"/>
      <c r="C56" s="321" t="s">
        <v>11</v>
      </c>
      <c r="D56" s="321"/>
      <c r="E56" s="321"/>
      <c r="F56" s="321"/>
      <c r="G56" s="321"/>
      <c r="H56" s="25">
        <v>9000</v>
      </c>
      <c r="I56" s="25"/>
      <c r="J56" s="25">
        <f>SUM(H56:I56)</f>
        <v>9000</v>
      </c>
    </row>
    <row r="57" spans="2:10" s="26" customFormat="1" ht="11.25">
      <c r="B57" s="27"/>
      <c r="C57" s="28"/>
      <c r="D57" s="28"/>
      <c r="E57" s="28"/>
      <c r="F57" s="28"/>
      <c r="G57" s="28"/>
      <c r="H57" s="25"/>
      <c r="I57" s="25"/>
      <c r="J57" s="25"/>
    </row>
    <row r="58" spans="2:10" s="26" customFormat="1" ht="11.25">
      <c r="B58" s="31" t="s">
        <v>125</v>
      </c>
      <c r="C58" s="301" t="s">
        <v>202</v>
      </c>
      <c r="D58" s="301"/>
      <c r="E58" s="301"/>
      <c r="F58" s="301"/>
      <c r="G58" s="301"/>
      <c r="H58" s="25"/>
      <c r="I58" s="25"/>
      <c r="J58" s="25"/>
    </row>
    <row r="59" spans="2:10" s="20" customFormat="1" ht="10.5">
      <c r="B59" s="21"/>
      <c r="C59" s="330" t="s">
        <v>4</v>
      </c>
      <c r="D59" s="330"/>
      <c r="E59" s="330"/>
      <c r="F59" s="330"/>
      <c r="G59" s="330"/>
      <c r="H59" s="23">
        <f>H60</f>
        <v>500</v>
      </c>
      <c r="I59" s="23">
        <f>I60</f>
        <v>0</v>
      </c>
      <c r="J59" s="23">
        <f>J60</f>
        <v>500</v>
      </c>
    </row>
    <row r="60" spans="2:10" s="26" customFormat="1" ht="11.25">
      <c r="B60" s="27"/>
      <c r="C60" s="325" t="s">
        <v>6</v>
      </c>
      <c r="D60" s="325"/>
      <c r="E60" s="325"/>
      <c r="F60" s="325"/>
      <c r="G60" s="325"/>
      <c r="H60" s="25">
        <v>500</v>
      </c>
      <c r="I60" s="25"/>
      <c r="J60" s="25">
        <f>SUM(H60:I60)</f>
        <v>500</v>
      </c>
    </row>
    <row r="61" spans="2:10" s="20" customFormat="1" ht="10.5">
      <c r="B61" s="21"/>
      <c r="C61" s="330" t="s">
        <v>8</v>
      </c>
      <c r="D61" s="330"/>
      <c r="E61" s="330"/>
      <c r="F61" s="330"/>
      <c r="G61" s="330"/>
      <c r="H61" s="23">
        <f>H62</f>
        <v>500</v>
      </c>
      <c r="I61" s="23">
        <f>I62</f>
        <v>0</v>
      </c>
      <c r="J61" s="23">
        <f>J62</f>
        <v>500</v>
      </c>
    </row>
    <row r="62" spans="2:10" s="26" customFormat="1" ht="11.25">
      <c r="B62" s="27"/>
      <c r="C62" s="321" t="s">
        <v>11</v>
      </c>
      <c r="D62" s="321"/>
      <c r="E62" s="321"/>
      <c r="F62" s="321"/>
      <c r="G62" s="321"/>
      <c r="H62" s="25">
        <v>500</v>
      </c>
      <c r="I62" s="25"/>
      <c r="J62" s="25">
        <f>SUM(H62:I62)</f>
        <v>500</v>
      </c>
    </row>
    <row r="63" spans="2:10" s="26" customFormat="1" ht="11.25">
      <c r="B63" s="27"/>
      <c r="C63" s="28"/>
      <c r="D63" s="28"/>
      <c r="E63" s="28"/>
      <c r="F63" s="28"/>
      <c r="G63" s="28"/>
      <c r="H63" s="25"/>
      <c r="I63" s="25"/>
      <c r="J63" s="25"/>
    </row>
    <row r="64" spans="2:10" s="6" customFormat="1" ht="50.25" customHeight="1">
      <c r="B64" s="7" t="s">
        <v>1</v>
      </c>
      <c r="C64" s="327" t="s">
        <v>2</v>
      </c>
      <c r="D64" s="327"/>
      <c r="E64" s="327"/>
      <c r="F64" s="327"/>
      <c r="G64" s="327"/>
      <c r="H64" s="8" t="s">
        <v>442</v>
      </c>
      <c r="I64" s="8" t="s">
        <v>440</v>
      </c>
      <c r="J64" s="8" t="s">
        <v>441</v>
      </c>
    </row>
    <row r="65" spans="2:10" s="26" customFormat="1" ht="11.25" customHeight="1">
      <c r="B65" s="27"/>
      <c r="C65" s="28"/>
      <c r="D65" s="28"/>
      <c r="E65" s="28"/>
      <c r="F65" s="28"/>
      <c r="G65" s="28"/>
      <c r="H65" s="25"/>
      <c r="I65" s="25"/>
      <c r="J65" s="25"/>
    </row>
    <row r="66" spans="2:10" s="17" customFormat="1" ht="12">
      <c r="B66" s="18" t="s">
        <v>125</v>
      </c>
      <c r="C66" s="340" t="s">
        <v>108</v>
      </c>
      <c r="D66" s="340"/>
      <c r="E66" s="340"/>
      <c r="F66" s="340"/>
      <c r="G66" s="340"/>
      <c r="H66" s="19"/>
      <c r="I66" s="19"/>
      <c r="J66" s="19"/>
    </row>
    <row r="67" spans="2:10" s="20" customFormat="1" ht="10.5">
      <c r="B67" s="21"/>
      <c r="C67" s="330" t="s">
        <v>4</v>
      </c>
      <c r="D67" s="330"/>
      <c r="E67" s="330"/>
      <c r="F67" s="330"/>
      <c r="G67" s="330"/>
      <c r="H67" s="23">
        <f>H68</f>
        <v>3000</v>
      </c>
      <c r="I67" s="23">
        <f>I68</f>
        <v>0</v>
      </c>
      <c r="J67" s="23">
        <f>J68</f>
        <v>3000</v>
      </c>
    </row>
    <row r="68" spans="2:10" s="26" customFormat="1" ht="11.25">
      <c r="B68" s="27"/>
      <c r="C68" s="325" t="s">
        <v>6</v>
      </c>
      <c r="D68" s="325"/>
      <c r="E68" s="325"/>
      <c r="F68" s="325"/>
      <c r="G68" s="325"/>
      <c r="H68" s="25">
        <v>3000</v>
      </c>
      <c r="I68" s="25"/>
      <c r="J68" s="25">
        <f>SUM(H68:I68)</f>
        <v>3000</v>
      </c>
    </row>
    <row r="69" spans="2:10" s="20" customFormat="1" ht="10.5">
      <c r="B69" s="21"/>
      <c r="C69" s="330" t="s">
        <v>8</v>
      </c>
      <c r="D69" s="330"/>
      <c r="E69" s="330"/>
      <c r="F69" s="330"/>
      <c r="G69" s="330"/>
      <c r="H69" s="23">
        <f>H70</f>
        <v>3000</v>
      </c>
      <c r="I69" s="23">
        <f>I70</f>
        <v>0</v>
      </c>
      <c r="J69" s="23">
        <f>J70</f>
        <v>3000</v>
      </c>
    </row>
    <row r="70" spans="3:10" s="26" customFormat="1" ht="11.25">
      <c r="C70" s="321" t="s">
        <v>11</v>
      </c>
      <c r="D70" s="321"/>
      <c r="E70" s="321"/>
      <c r="F70" s="321"/>
      <c r="G70" s="321"/>
      <c r="H70" s="25">
        <v>3000</v>
      </c>
      <c r="I70" s="25"/>
      <c r="J70" s="25">
        <f>SUM(H70:I70)</f>
        <v>3000</v>
      </c>
    </row>
    <row r="71" spans="2:10" s="26" customFormat="1" ht="11.25">
      <c r="B71" s="27"/>
      <c r="C71" s="28"/>
      <c r="D71" s="28"/>
      <c r="E71" s="28"/>
      <c r="F71" s="28"/>
      <c r="G71" s="28"/>
      <c r="H71" s="25"/>
      <c r="I71" s="25"/>
      <c r="J71" s="25"/>
    </row>
    <row r="72" spans="2:10" s="26" customFormat="1" ht="12">
      <c r="B72" s="18" t="s">
        <v>125</v>
      </c>
      <c r="C72" s="340" t="s">
        <v>129</v>
      </c>
      <c r="D72" s="340"/>
      <c r="E72" s="340"/>
      <c r="F72" s="340"/>
      <c r="G72" s="340"/>
      <c r="H72" s="19"/>
      <c r="I72" s="19"/>
      <c r="J72" s="19"/>
    </row>
    <row r="73" spans="2:10" s="26" customFormat="1" ht="11.25">
      <c r="B73" s="21"/>
      <c r="C73" s="330" t="s">
        <v>4</v>
      </c>
      <c r="D73" s="330"/>
      <c r="E73" s="330"/>
      <c r="F73" s="330"/>
      <c r="G73" s="330"/>
      <c r="H73" s="23">
        <f>H74</f>
        <v>40000</v>
      </c>
      <c r="I73" s="23">
        <f>I74</f>
        <v>0</v>
      </c>
      <c r="J73" s="23">
        <f>J74</f>
        <v>40000</v>
      </c>
    </row>
    <row r="74" spans="2:10" s="26" customFormat="1" ht="11.25">
      <c r="B74" s="27"/>
      <c r="C74" s="325" t="s">
        <v>6</v>
      </c>
      <c r="D74" s="325"/>
      <c r="E74" s="325"/>
      <c r="F74" s="325"/>
      <c r="G74" s="325"/>
      <c r="H74" s="25">
        <v>40000</v>
      </c>
      <c r="I74" s="25"/>
      <c r="J74" s="25">
        <f>SUM(H74:I74)</f>
        <v>40000</v>
      </c>
    </row>
    <row r="75" spans="2:10" s="26" customFormat="1" ht="11.25">
      <c r="B75" s="21"/>
      <c r="C75" s="330" t="s">
        <v>8</v>
      </c>
      <c r="D75" s="330"/>
      <c r="E75" s="330"/>
      <c r="F75" s="330"/>
      <c r="G75" s="330"/>
      <c r="H75" s="23">
        <f>H76</f>
        <v>40000</v>
      </c>
      <c r="I75" s="23">
        <f>I76</f>
        <v>0</v>
      </c>
      <c r="J75" s="23">
        <f>J76</f>
        <v>40000</v>
      </c>
    </row>
    <row r="76" spans="3:10" s="26" customFormat="1" ht="11.25">
      <c r="C76" s="321" t="s">
        <v>11</v>
      </c>
      <c r="D76" s="321"/>
      <c r="E76" s="321"/>
      <c r="F76" s="321"/>
      <c r="G76" s="321"/>
      <c r="H76" s="25">
        <v>40000</v>
      </c>
      <c r="I76" s="25"/>
      <c r="J76" s="25">
        <f>SUM(H76:I76)</f>
        <v>40000</v>
      </c>
    </row>
    <row r="77" spans="2:10" s="26" customFormat="1" ht="11.25">
      <c r="B77" s="27"/>
      <c r="C77" s="28"/>
      <c r="D77" s="28"/>
      <c r="E77" s="28"/>
      <c r="F77" s="28"/>
      <c r="G77" s="28"/>
      <c r="H77" s="25"/>
      <c r="I77" s="25"/>
      <c r="J77" s="25"/>
    </row>
    <row r="78" spans="2:10" s="47" customFormat="1" ht="12">
      <c r="B78" s="68" t="s">
        <v>126</v>
      </c>
      <c r="C78" s="305" t="s">
        <v>103</v>
      </c>
      <c r="D78" s="305"/>
      <c r="E78" s="305"/>
      <c r="F78" s="305"/>
      <c r="G78" s="305"/>
      <c r="H78" s="37"/>
      <c r="I78" s="37"/>
      <c r="J78" s="37"/>
    </row>
    <row r="79" spans="2:10" s="20" customFormat="1" ht="10.5">
      <c r="B79" s="21"/>
      <c r="C79" s="330" t="s">
        <v>4</v>
      </c>
      <c r="D79" s="330"/>
      <c r="E79" s="330"/>
      <c r="F79" s="330"/>
      <c r="G79" s="330"/>
      <c r="H79" s="23">
        <f>H80+H81</f>
        <v>478605</v>
      </c>
      <c r="I79" s="23">
        <f>I80+I81</f>
        <v>0</v>
      </c>
      <c r="J79" s="23">
        <f>J80+J81</f>
        <v>478605</v>
      </c>
    </row>
    <row r="80" spans="2:10" s="20" customFormat="1" ht="11.25">
      <c r="B80" s="21"/>
      <c r="C80" s="325" t="s">
        <v>104</v>
      </c>
      <c r="D80" s="325"/>
      <c r="E80" s="325"/>
      <c r="F80" s="325"/>
      <c r="G80" s="325"/>
      <c r="H80" s="25">
        <v>9047</v>
      </c>
      <c r="I80" s="25"/>
      <c r="J80" s="25">
        <f>SUM(H80:I80)</f>
        <v>9047</v>
      </c>
    </row>
    <row r="81" spans="2:10" s="26" customFormat="1" ht="11.25">
      <c r="B81" s="27"/>
      <c r="C81" s="325" t="s">
        <v>6</v>
      </c>
      <c r="D81" s="325"/>
      <c r="E81" s="325"/>
      <c r="F81" s="325"/>
      <c r="G81" s="325"/>
      <c r="H81" s="25">
        <v>469558</v>
      </c>
      <c r="I81" s="25"/>
      <c r="J81" s="25">
        <f>SUM(H81:I81)</f>
        <v>469558</v>
      </c>
    </row>
    <row r="82" spans="2:10" s="20" customFormat="1" ht="10.5">
      <c r="B82" s="21"/>
      <c r="C82" s="330" t="s">
        <v>8</v>
      </c>
      <c r="D82" s="330"/>
      <c r="E82" s="330"/>
      <c r="F82" s="330"/>
      <c r="G82" s="330"/>
      <c r="H82" s="23">
        <f>H83</f>
        <v>478605</v>
      </c>
      <c r="I82" s="23">
        <f>I83</f>
        <v>0</v>
      </c>
      <c r="J82" s="23">
        <f>J83</f>
        <v>478605</v>
      </c>
    </row>
    <row r="83" spans="3:10" s="26" customFormat="1" ht="13.5" customHeight="1">
      <c r="C83" s="321" t="s">
        <v>11</v>
      </c>
      <c r="D83" s="321"/>
      <c r="E83" s="321"/>
      <c r="F83" s="321"/>
      <c r="G83" s="321"/>
      <c r="H83" s="25">
        <v>478605</v>
      </c>
      <c r="I83" s="25"/>
      <c r="J83" s="25">
        <f>SUM(H83:I83)</f>
        <v>478605</v>
      </c>
    </row>
    <row r="84" spans="2:10" s="26" customFormat="1" ht="11.25">
      <c r="B84" s="27"/>
      <c r="C84" s="28"/>
      <c r="D84" s="28"/>
      <c r="E84" s="28"/>
      <c r="F84" s="28"/>
      <c r="G84" s="28"/>
      <c r="H84" s="25"/>
      <c r="I84" s="25"/>
      <c r="J84" s="25"/>
    </row>
    <row r="85" spans="2:10" s="69" customFormat="1" ht="23.25" customHeight="1">
      <c r="B85" s="70" t="s">
        <v>127</v>
      </c>
      <c r="C85" s="289" t="s">
        <v>105</v>
      </c>
      <c r="D85" s="289"/>
      <c r="E85" s="289"/>
      <c r="F85" s="289"/>
      <c r="G85" s="289"/>
      <c r="H85" s="71"/>
      <c r="I85" s="71"/>
      <c r="J85" s="71"/>
    </row>
    <row r="86" spans="2:10" s="20" customFormat="1" ht="10.5">
      <c r="B86" s="21"/>
      <c r="C86" s="330" t="s">
        <v>4</v>
      </c>
      <c r="D86" s="330"/>
      <c r="E86" s="330"/>
      <c r="F86" s="330"/>
      <c r="G86" s="330"/>
      <c r="H86" s="23">
        <f>H87</f>
        <v>65000</v>
      </c>
      <c r="I86" s="23">
        <f>I87</f>
        <v>0</v>
      </c>
      <c r="J86" s="23">
        <f>J87</f>
        <v>65000</v>
      </c>
    </row>
    <row r="87" spans="2:10" s="26" customFormat="1" ht="11.25">
      <c r="B87" s="27"/>
      <c r="C87" s="325" t="s">
        <v>6</v>
      </c>
      <c r="D87" s="325"/>
      <c r="E87" s="325"/>
      <c r="F87" s="325"/>
      <c r="G87" s="325"/>
      <c r="H87" s="25">
        <v>65000</v>
      </c>
      <c r="I87" s="25"/>
      <c r="J87" s="25">
        <f>SUM(H87:I87)</f>
        <v>65000</v>
      </c>
    </row>
    <row r="88" spans="2:10" s="20" customFormat="1" ht="10.5">
      <c r="B88" s="21"/>
      <c r="C88" s="330" t="s">
        <v>8</v>
      </c>
      <c r="D88" s="330"/>
      <c r="E88" s="330"/>
      <c r="F88" s="330"/>
      <c r="G88" s="330"/>
      <c r="H88" s="23">
        <f>H89</f>
        <v>65000</v>
      </c>
      <c r="I88" s="23">
        <f>I89</f>
        <v>0</v>
      </c>
      <c r="J88" s="23">
        <f>J89</f>
        <v>65000</v>
      </c>
    </row>
    <row r="89" spans="3:10" s="26" customFormat="1" ht="11.25">
      <c r="C89" s="321" t="s">
        <v>11</v>
      </c>
      <c r="D89" s="321"/>
      <c r="E89" s="321"/>
      <c r="F89" s="321"/>
      <c r="G89" s="321"/>
      <c r="H89" s="25">
        <v>65000</v>
      </c>
      <c r="I89" s="25"/>
      <c r="J89" s="25">
        <f>SUM(H89:I89)</f>
        <v>65000</v>
      </c>
    </row>
    <row r="90" spans="2:10" s="26" customFormat="1" ht="11.25">
      <c r="B90" s="27"/>
      <c r="C90" s="28"/>
      <c r="D90" s="28"/>
      <c r="E90" s="28"/>
      <c r="F90" s="28"/>
      <c r="G90" s="28"/>
      <c r="H90" s="25"/>
      <c r="I90" s="25"/>
      <c r="J90" s="25"/>
    </row>
    <row r="91" spans="2:10" s="69" customFormat="1" ht="30.75" customHeight="1">
      <c r="B91" s="78" t="s">
        <v>123</v>
      </c>
      <c r="C91" s="298" t="s">
        <v>128</v>
      </c>
      <c r="D91" s="298"/>
      <c r="E91" s="298"/>
      <c r="F91" s="298"/>
      <c r="G91" s="298"/>
      <c r="H91" s="71">
        <f>H94+H100</f>
        <v>638675</v>
      </c>
      <c r="I91" s="71">
        <f>I94+I100</f>
        <v>-318636</v>
      </c>
      <c r="J91" s="71">
        <f>J94+J100</f>
        <v>320039</v>
      </c>
    </row>
    <row r="92" spans="2:10" s="26" customFormat="1" ht="8.25" customHeight="1">
      <c r="B92" s="27"/>
      <c r="C92" s="28"/>
      <c r="D92" s="28"/>
      <c r="E92" s="28"/>
      <c r="F92" s="28"/>
      <c r="G92" s="28"/>
      <c r="H92" s="25"/>
      <c r="I92" s="25"/>
      <c r="J92" s="25"/>
    </row>
    <row r="93" spans="2:10" s="26" customFormat="1" ht="11.25">
      <c r="B93" s="27" t="s">
        <v>123</v>
      </c>
      <c r="C93" s="74" t="s">
        <v>106</v>
      </c>
      <c r="D93" s="74"/>
      <c r="E93" s="74"/>
      <c r="F93" s="74"/>
      <c r="G93" s="28"/>
      <c r="H93" s="25"/>
      <c r="I93" s="25"/>
      <c r="J93" s="25"/>
    </row>
    <row r="94" spans="2:10" s="20" customFormat="1" ht="10.5">
      <c r="B94" s="21"/>
      <c r="C94" s="330" t="s">
        <v>4</v>
      </c>
      <c r="D94" s="330"/>
      <c r="E94" s="330"/>
      <c r="F94" s="330"/>
      <c r="G94" s="330"/>
      <c r="H94" s="23">
        <f>H95</f>
        <v>511530</v>
      </c>
      <c r="I94" s="23">
        <f>I95</f>
        <v>-259433</v>
      </c>
      <c r="J94" s="23">
        <f>J95</f>
        <v>252097</v>
      </c>
    </row>
    <row r="95" spans="2:10" s="26" customFormat="1" ht="11.25">
      <c r="B95" s="27"/>
      <c r="C95" s="325" t="s">
        <v>6</v>
      </c>
      <c r="D95" s="325"/>
      <c r="E95" s="325"/>
      <c r="F95" s="325"/>
      <c r="G95" s="325"/>
      <c r="H95" s="25">
        <f>512030-500</f>
        <v>511530</v>
      </c>
      <c r="I95" s="25">
        <f>-236999-8947-2000-8325-3162</f>
        <v>-259433</v>
      </c>
      <c r="J95" s="25">
        <f>SUM(H95:I95)</f>
        <v>252097</v>
      </c>
    </row>
    <row r="96" spans="2:10" s="20" customFormat="1" ht="10.5">
      <c r="B96" s="21"/>
      <c r="C96" s="330" t="s">
        <v>8</v>
      </c>
      <c r="D96" s="330"/>
      <c r="E96" s="330"/>
      <c r="F96" s="330"/>
      <c r="G96" s="330"/>
      <c r="H96" s="23">
        <f>H97</f>
        <v>511530</v>
      </c>
      <c r="I96" s="23">
        <f>I97</f>
        <v>-259433</v>
      </c>
      <c r="J96" s="23">
        <f>J97</f>
        <v>252097</v>
      </c>
    </row>
    <row r="97" spans="3:10" s="26" customFormat="1" ht="11.25">
      <c r="C97" s="321" t="s">
        <v>11</v>
      </c>
      <c r="D97" s="321"/>
      <c r="E97" s="321"/>
      <c r="F97" s="321"/>
      <c r="G97" s="321"/>
      <c r="H97" s="25">
        <f>512030-500</f>
        <v>511530</v>
      </c>
      <c r="I97" s="25">
        <f>-247946-8325-3162</f>
        <v>-259433</v>
      </c>
      <c r="J97" s="25">
        <f>SUM(H97:I97)</f>
        <v>252097</v>
      </c>
    </row>
    <row r="98" spans="3:10" s="26" customFormat="1" ht="11.25">
      <c r="C98" s="28"/>
      <c r="D98" s="28"/>
      <c r="E98" s="28"/>
      <c r="F98" s="28"/>
      <c r="G98" s="28"/>
      <c r="H98" s="25"/>
      <c r="I98" s="25"/>
      <c r="J98" s="25"/>
    </row>
    <row r="99" spans="2:10" s="26" customFormat="1" ht="12">
      <c r="B99" s="27" t="s">
        <v>123</v>
      </c>
      <c r="C99" s="321" t="s">
        <v>107</v>
      </c>
      <c r="D99" s="321"/>
      <c r="E99" s="321"/>
      <c r="F99" s="321"/>
      <c r="G99" s="321"/>
      <c r="H99" s="19"/>
      <c r="I99" s="19"/>
      <c r="J99" s="19"/>
    </row>
    <row r="100" spans="2:10" s="26" customFormat="1" ht="11.25">
      <c r="B100" s="21"/>
      <c r="C100" s="330" t="s">
        <v>4</v>
      </c>
      <c r="D100" s="330"/>
      <c r="E100" s="330"/>
      <c r="F100" s="330"/>
      <c r="G100" s="330"/>
      <c r="H100" s="23">
        <f>H101</f>
        <v>127145</v>
      </c>
      <c r="I100" s="23">
        <f>I101</f>
        <v>-59203</v>
      </c>
      <c r="J100" s="23">
        <f>J101</f>
        <v>67942</v>
      </c>
    </row>
    <row r="101" spans="2:10" s="26" customFormat="1" ht="11.25">
      <c r="B101" s="27"/>
      <c r="C101" s="325" t="s">
        <v>490</v>
      </c>
      <c r="D101" s="325"/>
      <c r="E101" s="325"/>
      <c r="F101" s="325"/>
      <c r="G101" s="325"/>
      <c r="H101" s="25">
        <f>H102+H103</f>
        <v>127145</v>
      </c>
      <c r="I101" s="25">
        <f>I102+I103</f>
        <v>-59203</v>
      </c>
      <c r="J101" s="25">
        <f>J102+J103</f>
        <v>67942</v>
      </c>
    </row>
    <row r="102" spans="2:10" s="77" customFormat="1" ht="11.25">
      <c r="B102" s="75"/>
      <c r="C102" s="332" t="s">
        <v>491</v>
      </c>
      <c r="D102" s="332"/>
      <c r="E102" s="332"/>
      <c r="F102" s="332"/>
      <c r="G102" s="332"/>
      <c r="H102" s="41">
        <v>127145</v>
      </c>
      <c r="I102" s="41">
        <v>-60405</v>
      </c>
      <c r="J102" s="41">
        <f>SUM(H102:I102)</f>
        <v>66740</v>
      </c>
    </row>
    <row r="103" spans="2:10" s="77" customFormat="1" ht="11.25">
      <c r="B103" s="75"/>
      <c r="C103" s="332" t="s">
        <v>492</v>
      </c>
      <c r="D103" s="332"/>
      <c r="E103" s="332"/>
      <c r="F103" s="332"/>
      <c r="G103" s="332"/>
      <c r="H103" s="41">
        <v>0</v>
      </c>
      <c r="I103" s="41">
        <v>1202</v>
      </c>
      <c r="J103" s="41">
        <f>SUM(H103:I103)</f>
        <v>1202</v>
      </c>
    </row>
    <row r="104" spans="2:10" s="26" customFormat="1" ht="11.25">
      <c r="B104" s="21"/>
      <c r="C104" s="330" t="s">
        <v>8</v>
      </c>
      <c r="D104" s="330"/>
      <c r="E104" s="330"/>
      <c r="F104" s="330"/>
      <c r="G104" s="330"/>
      <c r="H104" s="23">
        <f>H105</f>
        <v>127145</v>
      </c>
      <c r="I104" s="23">
        <f>I105</f>
        <v>-59203</v>
      </c>
      <c r="J104" s="23">
        <f>J105</f>
        <v>67942</v>
      </c>
    </row>
    <row r="105" spans="3:10" s="26" customFormat="1" ht="11.25">
      <c r="C105" s="321" t="s">
        <v>11</v>
      </c>
      <c r="D105" s="321"/>
      <c r="E105" s="321"/>
      <c r="F105" s="321"/>
      <c r="G105" s="321"/>
      <c r="H105" s="25">
        <f>147145-20000</f>
        <v>127145</v>
      </c>
      <c r="I105" s="25">
        <v>-59203</v>
      </c>
      <c r="J105" s="25">
        <f>SUM(H105:I105)</f>
        <v>67942</v>
      </c>
    </row>
    <row r="106" spans="3:10" s="26" customFormat="1" ht="12" customHeight="1">
      <c r="C106" s="28"/>
      <c r="D106" s="28"/>
      <c r="E106" s="28"/>
      <c r="F106" s="28"/>
      <c r="G106" s="28"/>
      <c r="H106" s="25"/>
      <c r="I106" s="25"/>
      <c r="J106" s="25"/>
    </row>
    <row r="107" spans="2:10" s="26" customFormat="1" ht="12.75">
      <c r="B107" s="13" t="s">
        <v>18</v>
      </c>
      <c r="C107" s="303" t="s">
        <v>130</v>
      </c>
      <c r="D107" s="303"/>
      <c r="E107" s="303"/>
      <c r="F107" s="303"/>
      <c r="G107" s="303"/>
      <c r="H107" s="14">
        <f>H110+H142+H133+H118+H124</f>
        <v>686539</v>
      </c>
      <c r="I107" s="14">
        <f>I110+I142+I133+I118+I124</f>
        <v>0</v>
      </c>
      <c r="J107" s="14">
        <f>J110+J142+J133+J118+J124</f>
        <v>686539</v>
      </c>
    </row>
    <row r="108" spans="3:10" s="35" customFormat="1" ht="12">
      <c r="C108" s="36"/>
      <c r="D108" s="36"/>
      <c r="E108" s="36"/>
      <c r="F108" s="36"/>
      <c r="G108" s="36"/>
      <c r="H108" s="37"/>
      <c r="I108" s="37"/>
      <c r="J108" s="37"/>
    </row>
    <row r="109" spans="2:10" s="17" customFormat="1" ht="12">
      <c r="B109" s="18" t="s">
        <v>208</v>
      </c>
      <c r="C109" s="340" t="s">
        <v>20</v>
      </c>
      <c r="D109" s="340"/>
      <c r="E109" s="340"/>
      <c r="F109" s="340"/>
      <c r="G109" s="340"/>
      <c r="H109" s="19"/>
      <c r="I109" s="19"/>
      <c r="J109" s="19"/>
    </row>
    <row r="110" spans="2:10" s="20" customFormat="1" ht="10.5">
      <c r="B110" s="21"/>
      <c r="C110" s="330" t="s">
        <v>4</v>
      </c>
      <c r="D110" s="330"/>
      <c r="E110" s="330"/>
      <c r="F110" s="330"/>
      <c r="G110" s="330"/>
      <c r="H110" s="23">
        <f>H111</f>
        <v>448600</v>
      </c>
      <c r="I110" s="23">
        <f>I111</f>
        <v>0</v>
      </c>
      <c r="J110" s="23">
        <f>J111</f>
        <v>448600</v>
      </c>
    </row>
    <row r="111" spans="2:10" s="26" customFormat="1" ht="11.25">
      <c r="B111" s="27"/>
      <c r="C111" s="325" t="s">
        <v>6</v>
      </c>
      <c r="D111" s="325"/>
      <c r="E111" s="325"/>
      <c r="F111" s="325"/>
      <c r="G111" s="325"/>
      <c r="H111" s="25">
        <v>448600</v>
      </c>
      <c r="I111" s="25"/>
      <c r="J111" s="25">
        <f>SUM(H111:I111)</f>
        <v>448600</v>
      </c>
    </row>
    <row r="112" spans="2:10" s="20" customFormat="1" ht="10.5">
      <c r="B112" s="21"/>
      <c r="C112" s="330" t="s">
        <v>8</v>
      </c>
      <c r="D112" s="330"/>
      <c r="E112" s="330"/>
      <c r="F112" s="330"/>
      <c r="G112" s="330"/>
      <c r="H112" s="23">
        <f>H113+H115</f>
        <v>448600</v>
      </c>
      <c r="I112" s="23">
        <f>I113+I115</f>
        <v>0</v>
      </c>
      <c r="J112" s="23">
        <f>J113+J115</f>
        <v>448600</v>
      </c>
    </row>
    <row r="113" spans="3:10" s="26" customFormat="1" ht="11.25">
      <c r="C113" s="321" t="s">
        <v>11</v>
      </c>
      <c r="D113" s="321"/>
      <c r="E113" s="321"/>
      <c r="F113" s="321"/>
      <c r="G113" s="321"/>
      <c r="H113" s="25">
        <v>440108</v>
      </c>
      <c r="I113" s="25"/>
      <c r="J113" s="25">
        <f>SUM(H113:I113)</f>
        <v>440108</v>
      </c>
    </row>
    <row r="114" spans="3:10" s="77" customFormat="1" ht="11.25">
      <c r="C114" s="76"/>
      <c r="D114" s="297" t="s">
        <v>206</v>
      </c>
      <c r="E114" s="297"/>
      <c r="F114" s="297"/>
      <c r="G114" s="297"/>
      <c r="H114" s="41">
        <v>285430</v>
      </c>
      <c r="I114" s="41"/>
      <c r="J114" s="41">
        <f>SUM(H114:I114)</f>
        <v>285430</v>
      </c>
    </row>
    <row r="115" spans="3:10" s="26" customFormat="1" ht="11.25">
      <c r="C115" s="321" t="s">
        <v>124</v>
      </c>
      <c r="D115" s="321"/>
      <c r="E115" s="321"/>
      <c r="F115" s="321"/>
      <c r="G115" s="321"/>
      <c r="H115" s="25">
        <v>8492</v>
      </c>
      <c r="I115" s="25"/>
      <c r="J115" s="25">
        <f>SUM(H115:I115)</f>
        <v>8492</v>
      </c>
    </row>
    <row r="116" spans="3:10" s="35" customFormat="1" ht="12">
      <c r="C116" s="36"/>
      <c r="D116" s="36"/>
      <c r="E116" s="36"/>
      <c r="F116" s="36"/>
      <c r="G116" s="36"/>
      <c r="H116" s="37"/>
      <c r="I116" s="37"/>
      <c r="J116" s="37"/>
    </row>
    <row r="117" spans="2:8" s="17" customFormat="1" ht="12">
      <c r="B117" s="18" t="s">
        <v>131</v>
      </c>
      <c r="C117" s="340" t="s">
        <v>21</v>
      </c>
      <c r="D117" s="340"/>
      <c r="E117" s="340"/>
      <c r="F117" s="340"/>
      <c r="G117" s="340"/>
      <c r="H117" s="340"/>
    </row>
    <row r="118" spans="2:10" s="20" customFormat="1" ht="10.5">
      <c r="B118" s="21"/>
      <c r="C118" s="330" t="s">
        <v>4</v>
      </c>
      <c r="D118" s="330"/>
      <c r="E118" s="330"/>
      <c r="F118" s="330"/>
      <c r="G118" s="330"/>
      <c r="H118" s="23">
        <f>H119</f>
        <v>43400</v>
      </c>
      <c r="I118" s="23">
        <f>I119</f>
        <v>0</v>
      </c>
      <c r="J118" s="23">
        <f>J119</f>
        <v>43400</v>
      </c>
    </row>
    <row r="119" spans="2:10" s="26" customFormat="1" ht="11.25">
      <c r="B119" s="27"/>
      <c r="C119" s="325" t="s">
        <v>6</v>
      </c>
      <c r="D119" s="325"/>
      <c r="E119" s="325"/>
      <c r="F119" s="325"/>
      <c r="G119" s="325"/>
      <c r="H119" s="25">
        <v>43400</v>
      </c>
      <c r="I119" s="25"/>
      <c r="J119" s="25">
        <f>SUM(H119:I119)</f>
        <v>43400</v>
      </c>
    </row>
    <row r="120" spans="2:10" s="20" customFormat="1" ht="10.5">
      <c r="B120" s="21"/>
      <c r="C120" s="330" t="s">
        <v>8</v>
      </c>
      <c r="D120" s="330"/>
      <c r="E120" s="330"/>
      <c r="F120" s="330"/>
      <c r="G120" s="330"/>
      <c r="H120" s="23">
        <f>H121</f>
        <v>43400</v>
      </c>
      <c r="I120" s="23">
        <f>I121</f>
        <v>0</v>
      </c>
      <c r="J120" s="23">
        <f>J121</f>
        <v>43400</v>
      </c>
    </row>
    <row r="121" spans="3:10" s="26" customFormat="1" ht="11.25">
      <c r="C121" s="321" t="s">
        <v>11</v>
      </c>
      <c r="D121" s="321"/>
      <c r="E121" s="321"/>
      <c r="F121" s="321"/>
      <c r="G121" s="321"/>
      <c r="H121" s="25">
        <v>43400</v>
      </c>
      <c r="I121" s="25"/>
      <c r="J121" s="25">
        <f>SUM(H121:I121)</f>
        <v>43400</v>
      </c>
    </row>
    <row r="123" spans="2:8" s="17" customFormat="1" ht="12">
      <c r="B123" s="18" t="s">
        <v>131</v>
      </c>
      <c r="C123" s="340" t="s">
        <v>133</v>
      </c>
      <c r="D123" s="340"/>
      <c r="E123" s="340"/>
      <c r="F123" s="340"/>
      <c r="G123" s="340"/>
      <c r="H123" s="340"/>
    </row>
    <row r="124" spans="2:10" s="20" customFormat="1" ht="10.5">
      <c r="B124" s="21"/>
      <c r="C124" s="330" t="s">
        <v>4</v>
      </c>
      <c r="D124" s="330"/>
      <c r="E124" s="330"/>
      <c r="F124" s="330"/>
      <c r="G124" s="330"/>
      <c r="H124" s="23">
        <f>H125</f>
        <v>33080</v>
      </c>
      <c r="I124" s="23">
        <f>I125</f>
        <v>0</v>
      </c>
      <c r="J124" s="23">
        <f>J125</f>
        <v>33080</v>
      </c>
    </row>
    <row r="125" spans="2:10" s="26" customFormat="1" ht="11.25">
      <c r="B125" s="27"/>
      <c r="C125" s="325" t="s">
        <v>6</v>
      </c>
      <c r="D125" s="325"/>
      <c r="E125" s="325"/>
      <c r="F125" s="325"/>
      <c r="G125" s="325"/>
      <c r="H125" s="25">
        <v>33080</v>
      </c>
      <c r="I125" s="25"/>
      <c r="J125" s="25">
        <f>SUM(H125:I125)</f>
        <v>33080</v>
      </c>
    </row>
    <row r="126" spans="2:10" s="20" customFormat="1" ht="10.5">
      <c r="B126" s="21"/>
      <c r="C126" s="330" t="s">
        <v>8</v>
      </c>
      <c r="D126" s="330"/>
      <c r="E126" s="330"/>
      <c r="F126" s="330"/>
      <c r="G126" s="330"/>
      <c r="H126" s="23">
        <f>H127</f>
        <v>33080</v>
      </c>
      <c r="I126" s="23">
        <f>I127</f>
        <v>0</v>
      </c>
      <c r="J126" s="23">
        <f>J127</f>
        <v>33080</v>
      </c>
    </row>
    <row r="127" spans="3:10" s="26" customFormat="1" ht="11.25">
      <c r="C127" s="321" t="s">
        <v>11</v>
      </c>
      <c r="D127" s="321"/>
      <c r="E127" s="321"/>
      <c r="F127" s="321"/>
      <c r="G127" s="321"/>
      <c r="H127" s="25">
        <v>33080</v>
      </c>
      <c r="I127" s="25"/>
      <c r="J127" s="25">
        <f>SUM(H127:I127)</f>
        <v>33080</v>
      </c>
    </row>
    <row r="128" spans="3:10" s="77" customFormat="1" ht="11.25">
      <c r="C128" s="76"/>
      <c r="D128" s="297" t="s">
        <v>206</v>
      </c>
      <c r="E128" s="297"/>
      <c r="F128" s="297"/>
      <c r="G128" s="297"/>
      <c r="H128" s="41">
        <v>24196</v>
      </c>
      <c r="I128" s="41"/>
      <c r="J128" s="41">
        <f>SUM(H128:I128)</f>
        <v>24196</v>
      </c>
    </row>
    <row r="129" ht="12.75" customHeight="1"/>
    <row r="130" spans="2:10" s="6" customFormat="1" ht="50.25" customHeight="1">
      <c r="B130" s="7" t="s">
        <v>1</v>
      </c>
      <c r="C130" s="327" t="s">
        <v>2</v>
      </c>
      <c r="D130" s="327"/>
      <c r="E130" s="327"/>
      <c r="F130" s="327"/>
      <c r="G130" s="327"/>
      <c r="H130" s="8" t="s">
        <v>442</v>
      </c>
      <c r="I130" s="8" t="s">
        <v>440</v>
      </c>
      <c r="J130" s="8" t="s">
        <v>441</v>
      </c>
    </row>
    <row r="131" spans="3:10" s="35" customFormat="1" ht="12">
      <c r="C131" s="36"/>
      <c r="D131" s="36"/>
      <c r="E131" s="36"/>
      <c r="F131" s="36"/>
      <c r="G131" s="36"/>
      <c r="H131" s="37"/>
      <c r="I131" s="37"/>
      <c r="J131" s="37"/>
    </row>
    <row r="132" spans="2:10" s="17" customFormat="1" ht="12">
      <c r="B132" s="18" t="s">
        <v>209</v>
      </c>
      <c r="C132" s="340" t="s">
        <v>19</v>
      </c>
      <c r="D132" s="340"/>
      <c r="E132" s="340"/>
      <c r="F132" s="340"/>
      <c r="G132" s="340"/>
      <c r="H132" s="19"/>
      <c r="I132" s="19"/>
      <c r="J132" s="19"/>
    </row>
    <row r="133" spans="2:10" s="20" customFormat="1" ht="10.5">
      <c r="B133" s="21"/>
      <c r="C133" s="330" t="s">
        <v>4</v>
      </c>
      <c r="D133" s="330"/>
      <c r="E133" s="330"/>
      <c r="F133" s="330"/>
      <c r="G133" s="330"/>
      <c r="H133" s="23">
        <f>H134+H135</f>
        <v>71812</v>
      </c>
      <c r="I133" s="23">
        <f>I134+I135</f>
        <v>0</v>
      </c>
      <c r="J133" s="23">
        <f>J134+J135</f>
        <v>71812</v>
      </c>
    </row>
    <row r="134" spans="2:10" s="26" customFormat="1" ht="11.25">
      <c r="B134" s="27"/>
      <c r="C134" s="325" t="s">
        <v>6</v>
      </c>
      <c r="D134" s="325"/>
      <c r="E134" s="325"/>
      <c r="F134" s="325"/>
      <c r="G134" s="325"/>
      <c r="H134" s="25">
        <v>70686</v>
      </c>
      <c r="I134" s="25"/>
      <c r="J134" s="25">
        <f>SUM(H134:I134)</f>
        <v>70686</v>
      </c>
    </row>
    <row r="135" spans="2:10" s="26" customFormat="1" ht="11.25">
      <c r="B135" s="27"/>
      <c r="C135" s="325" t="s">
        <v>7</v>
      </c>
      <c r="D135" s="325"/>
      <c r="E135" s="325"/>
      <c r="F135" s="325"/>
      <c r="G135" s="325"/>
      <c r="H135" s="25">
        <v>1126</v>
      </c>
      <c r="I135" s="25"/>
      <c r="J135" s="25">
        <f>SUM(H135:I135)</f>
        <v>1126</v>
      </c>
    </row>
    <row r="136" spans="2:10" s="20" customFormat="1" ht="10.5">
      <c r="B136" s="21"/>
      <c r="C136" s="330" t="s">
        <v>8</v>
      </c>
      <c r="D136" s="330"/>
      <c r="E136" s="330"/>
      <c r="F136" s="330"/>
      <c r="G136" s="330"/>
      <c r="H136" s="23">
        <f>H137+H139</f>
        <v>71812</v>
      </c>
      <c r="I136" s="23">
        <f>I137+I139</f>
        <v>0</v>
      </c>
      <c r="J136" s="23">
        <f>J137+J139</f>
        <v>71812</v>
      </c>
    </row>
    <row r="137" spans="3:10" s="26" customFormat="1" ht="11.25">
      <c r="C137" s="321" t="s">
        <v>11</v>
      </c>
      <c r="D137" s="321"/>
      <c r="E137" s="321"/>
      <c r="F137" s="321"/>
      <c r="G137" s="321"/>
      <c r="H137" s="25">
        <v>69812</v>
      </c>
      <c r="I137" s="25"/>
      <c r="J137" s="25">
        <f>SUM(H137:I137)</f>
        <v>69812</v>
      </c>
    </row>
    <row r="138" spans="3:10" s="77" customFormat="1" ht="11.25">
      <c r="C138" s="76"/>
      <c r="D138" s="297" t="s">
        <v>206</v>
      </c>
      <c r="E138" s="297"/>
      <c r="F138" s="297"/>
      <c r="G138" s="297"/>
      <c r="H138" s="41">
        <v>50423</v>
      </c>
      <c r="I138" s="41"/>
      <c r="J138" s="41">
        <f>SUM(H138:I138)</f>
        <v>50423</v>
      </c>
    </row>
    <row r="139" spans="3:10" s="26" customFormat="1" ht="11.25">
      <c r="C139" s="321" t="s">
        <v>124</v>
      </c>
      <c r="D139" s="321"/>
      <c r="E139" s="321"/>
      <c r="F139" s="321"/>
      <c r="G139" s="321"/>
      <c r="H139" s="25">
        <v>2000</v>
      </c>
      <c r="I139" s="25"/>
      <c r="J139" s="25">
        <f>SUM(H139:I139)</f>
        <v>2000</v>
      </c>
    </row>
    <row r="140" spans="3:10" s="35" customFormat="1" ht="12">
      <c r="C140" s="36"/>
      <c r="D140" s="36"/>
      <c r="E140" s="36"/>
      <c r="F140" s="36"/>
      <c r="G140" s="36"/>
      <c r="H140" s="37"/>
      <c r="I140" s="37"/>
      <c r="J140" s="37"/>
    </row>
    <row r="141" spans="2:10" s="17" customFormat="1" ht="12">
      <c r="B141" s="18" t="s">
        <v>132</v>
      </c>
      <c r="C141" s="340" t="s">
        <v>59</v>
      </c>
      <c r="D141" s="340"/>
      <c r="E141" s="340"/>
      <c r="F141" s="340"/>
      <c r="G141" s="340"/>
      <c r="H141" s="19"/>
      <c r="I141" s="19"/>
      <c r="J141" s="19"/>
    </row>
    <row r="142" spans="2:10" s="20" customFormat="1" ht="10.5">
      <c r="B142" s="21"/>
      <c r="C142" s="330" t="s">
        <v>4</v>
      </c>
      <c r="D142" s="330"/>
      <c r="E142" s="330"/>
      <c r="F142" s="330"/>
      <c r="G142" s="330"/>
      <c r="H142" s="23">
        <f>H143</f>
        <v>89647</v>
      </c>
      <c r="I142" s="23">
        <f>I143</f>
        <v>0</v>
      </c>
      <c r="J142" s="23">
        <f>J143</f>
        <v>89647</v>
      </c>
    </row>
    <row r="143" spans="2:10" s="26" customFormat="1" ht="11.25">
      <c r="B143" s="27"/>
      <c r="C143" s="325" t="s">
        <v>6</v>
      </c>
      <c r="D143" s="325"/>
      <c r="E143" s="325"/>
      <c r="F143" s="325"/>
      <c r="G143" s="325"/>
      <c r="H143" s="25">
        <v>89647</v>
      </c>
      <c r="I143" s="25"/>
      <c r="J143" s="25">
        <f>SUM(H143:I143)</f>
        <v>89647</v>
      </c>
    </row>
    <row r="144" spans="2:10" s="20" customFormat="1" ht="10.5">
      <c r="B144" s="21"/>
      <c r="C144" s="330" t="s">
        <v>8</v>
      </c>
      <c r="D144" s="330"/>
      <c r="E144" s="330"/>
      <c r="F144" s="330"/>
      <c r="G144" s="330"/>
      <c r="H144" s="23">
        <f>H145+H147</f>
        <v>89647</v>
      </c>
      <c r="I144" s="23">
        <f>I145+I147</f>
        <v>0</v>
      </c>
      <c r="J144" s="23">
        <f>J145+J147</f>
        <v>89647</v>
      </c>
    </row>
    <row r="145" spans="3:10" s="26" customFormat="1" ht="11.25">
      <c r="C145" s="321" t="s">
        <v>11</v>
      </c>
      <c r="D145" s="321"/>
      <c r="E145" s="321"/>
      <c r="F145" s="321"/>
      <c r="G145" s="321"/>
      <c r="H145" s="25">
        <v>88347</v>
      </c>
      <c r="I145" s="25"/>
      <c r="J145" s="25">
        <f>SUM(H145:I145)</f>
        <v>88347</v>
      </c>
    </row>
    <row r="146" spans="3:10" s="77" customFormat="1" ht="11.25">
      <c r="C146" s="76"/>
      <c r="D146" s="297" t="s">
        <v>206</v>
      </c>
      <c r="E146" s="297"/>
      <c r="F146" s="297"/>
      <c r="G146" s="297"/>
      <c r="H146" s="41">
        <v>63750</v>
      </c>
      <c r="I146" s="41"/>
      <c r="J146" s="41">
        <f>SUM(H146:I146)</f>
        <v>63750</v>
      </c>
    </row>
    <row r="147" spans="3:10" s="26" customFormat="1" ht="11.25">
      <c r="C147" s="321" t="s">
        <v>124</v>
      </c>
      <c r="D147" s="321"/>
      <c r="E147" s="321"/>
      <c r="F147" s="321"/>
      <c r="G147" s="321"/>
      <c r="H147" s="25">
        <v>1300</v>
      </c>
      <c r="I147" s="25"/>
      <c r="J147" s="25">
        <f>SUM(H147:I147)</f>
        <v>1300</v>
      </c>
    </row>
    <row r="148" spans="3:10" s="26" customFormat="1" ht="11.25">
      <c r="C148" s="28"/>
      <c r="D148" s="28"/>
      <c r="E148" s="28"/>
      <c r="F148" s="28"/>
      <c r="G148" s="28"/>
      <c r="H148" s="25"/>
      <c r="I148" s="25"/>
      <c r="J148" s="25"/>
    </row>
    <row r="149" spans="3:10" s="26" customFormat="1" ht="11.25">
      <c r="C149" s="28"/>
      <c r="D149" s="28"/>
      <c r="E149" s="28"/>
      <c r="F149" s="28"/>
      <c r="G149" s="28"/>
      <c r="H149" s="25"/>
      <c r="I149" s="25"/>
      <c r="J149" s="25"/>
    </row>
    <row r="150" spans="2:10" s="38" customFormat="1" ht="12.75">
      <c r="B150" s="13" t="s">
        <v>22</v>
      </c>
      <c r="C150" s="303" t="s">
        <v>134</v>
      </c>
      <c r="D150" s="303"/>
      <c r="E150" s="303"/>
      <c r="F150" s="303"/>
      <c r="G150" s="303"/>
      <c r="H150" s="14">
        <f>H153+H159+H179+H185+H191+H200+H206+H212+H219+H229+H234+H240+H260+H270+H281+H291+H298</f>
        <v>3170777</v>
      </c>
      <c r="I150" s="14">
        <f>I153+I159+I179+I185+I191+I200+I206+I212+I219+I229+I234+I240+I260+I270+I281+I291+I298</f>
        <v>109676</v>
      </c>
      <c r="J150" s="14">
        <f>J153+J159+J179+J185+J191+J200+J206+J212+J219+J229+J234+J240+J260+J270+J281+J291+J298</f>
        <v>3280453</v>
      </c>
    </row>
    <row r="151" spans="3:10" s="35" customFormat="1" ht="12">
      <c r="C151" s="36"/>
      <c r="D151" s="36"/>
      <c r="E151" s="36"/>
      <c r="F151" s="36"/>
      <c r="G151" s="36"/>
      <c r="H151" s="37"/>
      <c r="I151" s="37"/>
      <c r="J151" s="37"/>
    </row>
    <row r="152" spans="2:10" s="17" customFormat="1" ht="12">
      <c r="B152" s="18" t="s">
        <v>29</v>
      </c>
      <c r="C152" s="340" t="s">
        <v>98</v>
      </c>
      <c r="D152" s="340"/>
      <c r="E152" s="340"/>
      <c r="F152" s="340"/>
      <c r="G152" s="340"/>
      <c r="H152" s="19"/>
      <c r="I152" s="19"/>
      <c r="J152" s="19"/>
    </row>
    <row r="153" spans="2:10" s="20" customFormat="1" ht="10.5">
      <c r="B153" s="21"/>
      <c r="C153" s="330" t="s">
        <v>4</v>
      </c>
      <c r="D153" s="330"/>
      <c r="E153" s="330"/>
      <c r="F153" s="330"/>
      <c r="G153" s="330"/>
      <c r="H153" s="23">
        <f>H154</f>
        <v>61850</v>
      </c>
      <c r="I153" s="23">
        <f>I154</f>
        <v>0</v>
      </c>
      <c r="J153" s="23">
        <f>J154</f>
        <v>61850</v>
      </c>
    </row>
    <row r="154" spans="2:10" s="26" customFormat="1" ht="11.25">
      <c r="B154" s="27"/>
      <c r="C154" s="325" t="s">
        <v>6</v>
      </c>
      <c r="D154" s="325"/>
      <c r="E154" s="325"/>
      <c r="F154" s="325"/>
      <c r="G154" s="325"/>
      <c r="H154" s="25">
        <v>61850</v>
      </c>
      <c r="I154" s="25"/>
      <c r="J154" s="25">
        <f>SUM(H154:I154)</f>
        <v>61850</v>
      </c>
    </row>
    <row r="155" spans="2:10" s="20" customFormat="1" ht="10.5">
      <c r="B155" s="21"/>
      <c r="C155" s="330" t="s">
        <v>8</v>
      </c>
      <c r="D155" s="330"/>
      <c r="E155" s="330"/>
      <c r="F155" s="330"/>
      <c r="G155" s="330"/>
      <c r="H155" s="23">
        <f>H156</f>
        <v>61850</v>
      </c>
      <c r="I155" s="23">
        <f>I156</f>
        <v>0</v>
      </c>
      <c r="J155" s="23">
        <f>J156</f>
        <v>61850</v>
      </c>
    </row>
    <row r="156" spans="3:10" s="26" customFormat="1" ht="11.25">
      <c r="C156" s="321" t="s">
        <v>9</v>
      </c>
      <c r="D156" s="321"/>
      <c r="E156" s="321"/>
      <c r="F156" s="321"/>
      <c r="G156" s="321"/>
      <c r="H156" s="25">
        <v>61850</v>
      </c>
      <c r="I156" s="25"/>
      <c r="J156" s="25">
        <f>SUM(H156:I156)</f>
        <v>61850</v>
      </c>
    </row>
    <row r="158" spans="2:10" s="17" customFormat="1" ht="13.5" customHeight="1">
      <c r="B158" s="18" t="s">
        <v>22</v>
      </c>
      <c r="C158" s="340" t="s">
        <v>61</v>
      </c>
      <c r="D158" s="340"/>
      <c r="E158" s="340"/>
      <c r="F158" s="340"/>
      <c r="G158" s="340"/>
      <c r="H158" s="19"/>
      <c r="I158" s="19"/>
      <c r="J158" s="19"/>
    </row>
    <row r="159" spans="2:10" s="20" customFormat="1" ht="13.5" customHeight="1">
      <c r="B159" s="21"/>
      <c r="C159" s="330" t="s">
        <v>4</v>
      </c>
      <c r="D159" s="330"/>
      <c r="E159" s="330"/>
      <c r="F159" s="330"/>
      <c r="G159" s="330"/>
      <c r="H159" s="23">
        <f>H160</f>
        <v>1544525</v>
      </c>
      <c r="I159" s="23">
        <f>I160</f>
        <v>0</v>
      </c>
      <c r="J159" s="23">
        <f>J160</f>
        <v>1544525</v>
      </c>
    </row>
    <row r="160" spans="2:10" s="26" customFormat="1" ht="11.25" customHeight="1">
      <c r="B160" s="27"/>
      <c r="C160" s="325" t="s">
        <v>6</v>
      </c>
      <c r="D160" s="325"/>
      <c r="E160" s="325"/>
      <c r="F160" s="325"/>
      <c r="G160" s="325"/>
      <c r="H160" s="25">
        <f>H167+H173</f>
        <v>1544525</v>
      </c>
      <c r="I160" s="25">
        <f>I167+I173</f>
        <v>0</v>
      </c>
      <c r="J160" s="25">
        <f>J167+J173</f>
        <v>1544525</v>
      </c>
    </row>
    <row r="161" spans="2:10" s="20" customFormat="1" ht="11.25" customHeight="1">
      <c r="B161" s="21"/>
      <c r="C161" s="330" t="s">
        <v>8</v>
      </c>
      <c r="D161" s="330"/>
      <c r="E161" s="330"/>
      <c r="F161" s="330"/>
      <c r="G161" s="330"/>
      <c r="H161" s="23">
        <f>H162+H163</f>
        <v>1544525</v>
      </c>
      <c r="I161" s="23">
        <f>I162+I163</f>
        <v>0</v>
      </c>
      <c r="J161" s="23">
        <f>J162+J163</f>
        <v>1544525</v>
      </c>
    </row>
    <row r="162" spans="3:10" s="26" customFormat="1" ht="11.25" customHeight="1">
      <c r="C162" s="321" t="s">
        <v>11</v>
      </c>
      <c r="D162" s="321"/>
      <c r="E162" s="321"/>
      <c r="F162" s="321"/>
      <c r="G162" s="321"/>
      <c r="H162" s="25">
        <f>H169+H175</f>
        <v>836263</v>
      </c>
      <c r="I162" s="25">
        <f>I169+I175</f>
        <v>0</v>
      </c>
      <c r="J162" s="25">
        <f>J169+J175</f>
        <v>836263</v>
      </c>
    </row>
    <row r="163" spans="3:10" s="26" customFormat="1" ht="11.25" customHeight="1">
      <c r="C163" s="321" t="s">
        <v>124</v>
      </c>
      <c r="D163" s="321"/>
      <c r="E163" s="321"/>
      <c r="F163" s="321"/>
      <c r="G163" s="321"/>
      <c r="H163" s="25">
        <f>H176</f>
        <v>708262</v>
      </c>
      <c r="I163" s="25">
        <f>I176</f>
        <v>0</v>
      </c>
      <c r="J163" s="25">
        <f>J176</f>
        <v>708262</v>
      </c>
    </row>
    <row r="164" spans="3:10" s="26" customFormat="1" ht="11.25" customHeight="1">
      <c r="C164" s="28"/>
      <c r="D164" s="28"/>
      <c r="E164" s="28"/>
      <c r="F164" s="28"/>
      <c r="G164" s="28"/>
      <c r="H164" s="25"/>
      <c r="I164" s="25"/>
      <c r="J164" s="25"/>
    </row>
    <row r="165" spans="2:10" s="26" customFormat="1" ht="11.25" customHeight="1">
      <c r="B165" s="27" t="s">
        <v>33</v>
      </c>
      <c r="C165" s="321" t="s">
        <v>135</v>
      </c>
      <c r="D165" s="321"/>
      <c r="E165" s="321"/>
      <c r="F165" s="321"/>
      <c r="G165" s="321"/>
      <c r="H165" s="25"/>
      <c r="I165" s="25"/>
      <c r="J165" s="25"/>
    </row>
    <row r="166" spans="2:10" s="20" customFormat="1" ht="11.25" customHeight="1">
      <c r="B166" s="21"/>
      <c r="C166" s="330" t="s">
        <v>4</v>
      </c>
      <c r="D166" s="330"/>
      <c r="E166" s="330"/>
      <c r="F166" s="330"/>
      <c r="G166" s="330"/>
      <c r="H166" s="23">
        <f>H167</f>
        <v>46557</v>
      </c>
      <c r="I166" s="23">
        <f>I167</f>
        <v>0</v>
      </c>
      <c r="J166" s="23">
        <f>J167</f>
        <v>46557</v>
      </c>
    </row>
    <row r="167" spans="2:10" s="26" customFormat="1" ht="11.25" customHeight="1">
      <c r="B167" s="27"/>
      <c r="C167" s="325" t="s">
        <v>6</v>
      </c>
      <c r="D167" s="325"/>
      <c r="E167" s="325"/>
      <c r="F167" s="325"/>
      <c r="G167" s="325"/>
      <c r="H167" s="25">
        <v>46557</v>
      </c>
      <c r="I167" s="25"/>
      <c r="J167" s="25">
        <f>SUM(H167:I167)</f>
        <v>46557</v>
      </c>
    </row>
    <row r="168" spans="2:10" s="20" customFormat="1" ht="11.25" customHeight="1">
      <c r="B168" s="21"/>
      <c r="C168" s="330" t="s">
        <v>8</v>
      </c>
      <c r="D168" s="330"/>
      <c r="E168" s="330"/>
      <c r="F168" s="330"/>
      <c r="G168" s="330"/>
      <c r="H168" s="23">
        <f>H169</f>
        <v>46557</v>
      </c>
      <c r="I168" s="23">
        <f>I169</f>
        <v>0</v>
      </c>
      <c r="J168" s="23">
        <f>J169</f>
        <v>46557</v>
      </c>
    </row>
    <row r="169" spans="3:10" s="26" customFormat="1" ht="11.25" customHeight="1">
      <c r="C169" s="321" t="s">
        <v>11</v>
      </c>
      <c r="D169" s="321"/>
      <c r="E169" s="321"/>
      <c r="F169" s="321"/>
      <c r="G169" s="321"/>
      <c r="H169" s="25">
        <v>46557</v>
      </c>
      <c r="I169" s="25"/>
      <c r="J169" s="25">
        <f>SUM(H169:I169)</f>
        <v>46557</v>
      </c>
    </row>
    <row r="170" spans="3:10" s="26" customFormat="1" ht="11.25" customHeight="1">
      <c r="C170" s="28"/>
      <c r="D170" s="28"/>
      <c r="E170" s="28"/>
      <c r="F170" s="28"/>
      <c r="G170" s="28"/>
      <c r="H170" s="25"/>
      <c r="I170" s="25"/>
      <c r="J170" s="25"/>
    </row>
    <row r="171" spans="2:10" s="26" customFormat="1" ht="11.25" customHeight="1">
      <c r="B171" s="27" t="s">
        <v>136</v>
      </c>
      <c r="C171" s="321" t="s">
        <v>137</v>
      </c>
      <c r="D171" s="321"/>
      <c r="E171" s="321"/>
      <c r="F171" s="321"/>
      <c r="G171" s="321"/>
      <c r="H171" s="25"/>
      <c r="I171" s="25"/>
      <c r="J171" s="25"/>
    </row>
    <row r="172" spans="2:10" s="20" customFormat="1" ht="11.25" customHeight="1">
      <c r="B172" s="21"/>
      <c r="C172" s="330" t="s">
        <v>4</v>
      </c>
      <c r="D172" s="330"/>
      <c r="E172" s="330"/>
      <c r="F172" s="330"/>
      <c r="G172" s="330"/>
      <c r="H172" s="23">
        <f>H173</f>
        <v>1497968</v>
      </c>
      <c r="I172" s="23">
        <f>I173</f>
        <v>0</v>
      </c>
      <c r="J172" s="23">
        <f>J173</f>
        <v>1497968</v>
      </c>
    </row>
    <row r="173" spans="2:10" s="26" customFormat="1" ht="11.25" customHeight="1">
      <c r="B173" s="27"/>
      <c r="C173" s="325" t="s">
        <v>6</v>
      </c>
      <c r="D173" s="325"/>
      <c r="E173" s="325"/>
      <c r="F173" s="325"/>
      <c r="G173" s="325"/>
      <c r="H173" s="25">
        <v>1497968</v>
      </c>
      <c r="I173" s="25"/>
      <c r="J173" s="25">
        <f>SUM(H173:I173)</f>
        <v>1497968</v>
      </c>
    </row>
    <row r="174" spans="2:10" s="20" customFormat="1" ht="11.25" customHeight="1">
      <c r="B174" s="21"/>
      <c r="C174" s="330" t="s">
        <v>8</v>
      </c>
      <c r="D174" s="330"/>
      <c r="E174" s="330"/>
      <c r="F174" s="330"/>
      <c r="G174" s="330"/>
      <c r="H174" s="23">
        <f>H175+H176</f>
        <v>1497968</v>
      </c>
      <c r="I174" s="23">
        <f>I175+I176</f>
        <v>0</v>
      </c>
      <c r="J174" s="23">
        <f>J175+J176</f>
        <v>1497968</v>
      </c>
    </row>
    <row r="175" spans="3:10" s="26" customFormat="1" ht="11.25" customHeight="1">
      <c r="C175" s="321" t="s">
        <v>11</v>
      </c>
      <c r="D175" s="321"/>
      <c r="E175" s="321"/>
      <c r="F175" s="321"/>
      <c r="G175" s="321"/>
      <c r="H175" s="25">
        <v>789706</v>
      </c>
      <c r="I175" s="25"/>
      <c r="J175" s="25">
        <f>SUM(H175:I175)</f>
        <v>789706</v>
      </c>
    </row>
    <row r="176" spans="3:10" s="26" customFormat="1" ht="11.25" customHeight="1">
      <c r="C176" s="321" t="s">
        <v>124</v>
      </c>
      <c r="D176" s="321"/>
      <c r="E176" s="321"/>
      <c r="F176" s="321"/>
      <c r="G176" s="321"/>
      <c r="H176" s="25">
        <v>708262</v>
      </c>
      <c r="I176" s="25"/>
      <c r="J176" s="25">
        <f>SUM(H176:I176)</f>
        <v>708262</v>
      </c>
    </row>
    <row r="178" spans="2:10" s="17" customFormat="1" ht="12">
      <c r="B178" s="18" t="s">
        <v>136</v>
      </c>
      <c r="C178" s="340" t="s">
        <v>138</v>
      </c>
      <c r="D178" s="340"/>
      <c r="E178" s="340"/>
      <c r="F178" s="340"/>
      <c r="G178" s="340"/>
      <c r="H178" s="19"/>
      <c r="I178" s="19"/>
      <c r="J178" s="19"/>
    </row>
    <row r="179" spans="2:10" s="20" customFormat="1" ht="10.5">
      <c r="B179" s="21"/>
      <c r="C179" s="330" t="s">
        <v>4</v>
      </c>
      <c r="D179" s="330"/>
      <c r="E179" s="330"/>
      <c r="F179" s="330"/>
      <c r="G179" s="330"/>
      <c r="H179" s="23">
        <f>H180</f>
        <v>600000</v>
      </c>
      <c r="I179" s="23">
        <f>I180</f>
        <v>0</v>
      </c>
      <c r="J179" s="23">
        <f>J180</f>
        <v>600000</v>
      </c>
    </row>
    <row r="180" spans="2:10" s="26" customFormat="1" ht="11.25">
      <c r="B180" s="27"/>
      <c r="C180" s="325" t="s">
        <v>27</v>
      </c>
      <c r="D180" s="325"/>
      <c r="E180" s="325"/>
      <c r="F180" s="325"/>
      <c r="G180" s="325"/>
      <c r="H180" s="25">
        <v>600000</v>
      </c>
      <c r="I180" s="25"/>
      <c r="J180" s="25">
        <f>SUM(H180:I180)</f>
        <v>600000</v>
      </c>
    </row>
    <row r="181" spans="2:10" s="20" customFormat="1" ht="10.5">
      <c r="B181" s="21"/>
      <c r="C181" s="330" t="s">
        <v>8</v>
      </c>
      <c r="D181" s="330"/>
      <c r="E181" s="330"/>
      <c r="F181" s="330"/>
      <c r="G181" s="330"/>
      <c r="H181" s="23">
        <f>H182</f>
        <v>600000</v>
      </c>
      <c r="I181" s="23">
        <f>I182</f>
        <v>0</v>
      </c>
      <c r="J181" s="23">
        <f>J182</f>
        <v>600000</v>
      </c>
    </row>
    <row r="182" spans="3:10" s="26" customFormat="1" ht="11.25">
      <c r="C182" s="321" t="s">
        <v>124</v>
      </c>
      <c r="D182" s="321"/>
      <c r="E182" s="321"/>
      <c r="F182" s="321"/>
      <c r="G182" s="321"/>
      <c r="H182" s="25">
        <v>600000</v>
      </c>
      <c r="I182" s="25"/>
      <c r="J182" s="25">
        <f>SUM(H182:I182)</f>
        <v>600000</v>
      </c>
    </row>
    <row r="183" ht="17.25" customHeight="1"/>
    <row r="184" spans="2:10" s="17" customFormat="1" ht="12">
      <c r="B184" s="18" t="s">
        <v>136</v>
      </c>
      <c r="C184" s="340" t="s">
        <v>96</v>
      </c>
      <c r="D184" s="340"/>
      <c r="E184" s="340"/>
      <c r="F184" s="340"/>
      <c r="G184" s="340"/>
      <c r="H184" s="19"/>
      <c r="I184" s="19"/>
      <c r="J184" s="19"/>
    </row>
    <row r="185" spans="2:10" s="20" customFormat="1" ht="10.5">
      <c r="B185" s="21"/>
      <c r="C185" s="330" t="s">
        <v>4</v>
      </c>
      <c r="D185" s="330"/>
      <c r="E185" s="330"/>
      <c r="F185" s="330"/>
      <c r="G185" s="330"/>
      <c r="H185" s="23">
        <f>H186</f>
        <v>480842</v>
      </c>
      <c r="I185" s="23">
        <f>I186</f>
        <v>0</v>
      </c>
      <c r="J185" s="23">
        <f>J186</f>
        <v>480842</v>
      </c>
    </row>
    <row r="186" spans="2:10" s="26" customFormat="1" ht="11.25">
      <c r="B186" s="27"/>
      <c r="C186" s="325" t="s">
        <v>6</v>
      </c>
      <c r="D186" s="325"/>
      <c r="E186" s="325"/>
      <c r="F186" s="325"/>
      <c r="G186" s="325"/>
      <c r="H186" s="25">
        <v>480842</v>
      </c>
      <c r="I186" s="25"/>
      <c r="J186" s="25">
        <f>SUM(H186:I186)</f>
        <v>480842</v>
      </c>
    </row>
    <row r="187" spans="2:10" s="20" customFormat="1" ht="10.5">
      <c r="B187" s="21"/>
      <c r="C187" s="330" t="s">
        <v>8</v>
      </c>
      <c r="D187" s="330"/>
      <c r="E187" s="330"/>
      <c r="F187" s="330"/>
      <c r="G187" s="330"/>
      <c r="H187" s="23">
        <f>H188</f>
        <v>480842</v>
      </c>
      <c r="I187" s="23">
        <f>I188</f>
        <v>0</v>
      </c>
      <c r="J187" s="23">
        <f>J188</f>
        <v>480842</v>
      </c>
    </row>
    <row r="188" spans="3:10" s="26" customFormat="1" ht="11.25">
      <c r="C188" s="321" t="s">
        <v>124</v>
      </c>
      <c r="D188" s="321"/>
      <c r="E188" s="321"/>
      <c r="F188" s="321"/>
      <c r="G188" s="321"/>
      <c r="H188" s="25">
        <v>480842</v>
      </c>
      <c r="I188" s="25"/>
      <c r="J188" s="25">
        <f>SUM(H188:I188)</f>
        <v>480842</v>
      </c>
    </row>
    <row r="189" spans="3:10" s="26" customFormat="1" ht="11.25">
      <c r="C189" s="28"/>
      <c r="D189" s="28"/>
      <c r="E189" s="28"/>
      <c r="F189" s="28"/>
      <c r="G189" s="28"/>
      <c r="H189" s="25"/>
      <c r="I189" s="25"/>
      <c r="J189" s="25"/>
    </row>
    <row r="190" spans="2:10" s="65" customFormat="1" ht="15" customHeight="1">
      <c r="B190" s="66" t="s">
        <v>139</v>
      </c>
      <c r="C190" s="308" t="s">
        <v>95</v>
      </c>
      <c r="D190" s="308"/>
      <c r="E190" s="308"/>
      <c r="F190" s="308"/>
      <c r="G190" s="308"/>
      <c r="H190" s="67"/>
      <c r="I190" s="67"/>
      <c r="J190" s="67"/>
    </row>
    <row r="191" spans="2:10" s="20" customFormat="1" ht="10.5">
      <c r="B191" s="21"/>
      <c r="C191" s="330" t="s">
        <v>4</v>
      </c>
      <c r="D191" s="330"/>
      <c r="E191" s="330"/>
      <c r="F191" s="330"/>
      <c r="G191" s="330"/>
      <c r="H191" s="23">
        <f>H192</f>
        <v>150000</v>
      </c>
      <c r="I191" s="23">
        <f>I192</f>
        <v>0</v>
      </c>
      <c r="J191" s="23">
        <f>J192</f>
        <v>150000</v>
      </c>
    </row>
    <row r="192" spans="2:10" s="26" customFormat="1" ht="11.25">
      <c r="B192" s="27"/>
      <c r="C192" s="325" t="s">
        <v>6</v>
      </c>
      <c r="D192" s="325"/>
      <c r="E192" s="325"/>
      <c r="F192" s="325"/>
      <c r="G192" s="325"/>
      <c r="H192" s="25">
        <v>150000</v>
      </c>
      <c r="I192" s="25"/>
      <c r="J192" s="25">
        <f>SUM(H192:I192)</f>
        <v>150000</v>
      </c>
    </row>
    <row r="193" spans="2:10" s="20" customFormat="1" ht="10.5">
      <c r="B193" s="21"/>
      <c r="C193" s="330" t="s">
        <v>8</v>
      </c>
      <c r="D193" s="330"/>
      <c r="E193" s="330"/>
      <c r="F193" s="330"/>
      <c r="G193" s="330"/>
      <c r="H193" s="23">
        <f>H194</f>
        <v>150000</v>
      </c>
      <c r="I193" s="23">
        <f>I194</f>
        <v>0</v>
      </c>
      <c r="J193" s="23">
        <f>J194</f>
        <v>150000</v>
      </c>
    </row>
    <row r="194" spans="3:10" s="26" customFormat="1" ht="11.25">
      <c r="C194" s="321" t="s">
        <v>124</v>
      </c>
      <c r="D194" s="321"/>
      <c r="E194" s="321"/>
      <c r="F194" s="321"/>
      <c r="G194" s="321"/>
      <c r="H194" s="25">
        <v>150000</v>
      </c>
      <c r="I194" s="25"/>
      <c r="J194" s="25">
        <f>SUM(H194:I194)</f>
        <v>150000</v>
      </c>
    </row>
    <row r="195" spans="3:10" s="26" customFormat="1" ht="11.25">
      <c r="C195" s="28"/>
      <c r="D195" s="28"/>
      <c r="E195" s="28"/>
      <c r="F195" s="28"/>
      <c r="G195" s="28"/>
      <c r="H195" s="25"/>
      <c r="I195" s="25"/>
      <c r="J195" s="25"/>
    </row>
    <row r="196" spans="3:10" s="26" customFormat="1" ht="11.25">
      <c r="C196" s="28"/>
      <c r="D196" s="28"/>
      <c r="E196" s="28"/>
      <c r="F196" s="28"/>
      <c r="G196" s="28"/>
      <c r="H196" s="25"/>
      <c r="I196" s="25"/>
      <c r="J196" s="25"/>
    </row>
    <row r="197" spans="2:10" s="6" customFormat="1" ht="50.25" customHeight="1">
      <c r="B197" s="7" t="s">
        <v>1</v>
      </c>
      <c r="C197" s="327" t="s">
        <v>2</v>
      </c>
      <c r="D197" s="327"/>
      <c r="E197" s="327"/>
      <c r="F197" s="327"/>
      <c r="G197" s="327"/>
      <c r="H197" s="8" t="s">
        <v>442</v>
      </c>
      <c r="I197" s="8" t="s">
        <v>440</v>
      </c>
      <c r="J197" s="8" t="s">
        <v>441</v>
      </c>
    </row>
    <row r="198" ht="10.5" customHeight="1"/>
    <row r="199" spans="2:10" s="26" customFormat="1" ht="12">
      <c r="B199" s="18" t="s">
        <v>140</v>
      </c>
      <c r="C199" s="340" t="s">
        <v>97</v>
      </c>
      <c r="D199" s="340"/>
      <c r="E199" s="340"/>
      <c r="F199" s="340"/>
      <c r="G199" s="340"/>
      <c r="H199" s="25"/>
      <c r="I199" s="25"/>
      <c r="J199" s="25"/>
    </row>
    <row r="200" spans="2:10" s="26" customFormat="1" ht="11.25">
      <c r="B200" s="21"/>
      <c r="C200" s="330" t="s">
        <v>4</v>
      </c>
      <c r="D200" s="330"/>
      <c r="E200" s="330"/>
      <c r="F200" s="330"/>
      <c r="G200" s="330"/>
      <c r="H200" s="23">
        <f>H201</f>
        <v>245842</v>
      </c>
      <c r="I200" s="23">
        <f>I201</f>
        <v>0</v>
      </c>
      <c r="J200" s="23">
        <f>J201</f>
        <v>245842</v>
      </c>
    </row>
    <row r="201" spans="2:10" s="26" customFormat="1" ht="11.25">
      <c r="B201" s="27"/>
      <c r="C201" s="325" t="s">
        <v>6</v>
      </c>
      <c r="D201" s="325"/>
      <c r="E201" s="325"/>
      <c r="F201" s="325"/>
      <c r="G201" s="325"/>
      <c r="H201" s="25">
        <v>245842</v>
      </c>
      <c r="I201" s="25"/>
      <c r="J201" s="25">
        <f>SUM(H201:I201)</f>
        <v>245842</v>
      </c>
    </row>
    <row r="202" spans="2:10" s="26" customFormat="1" ht="11.25">
      <c r="B202" s="21"/>
      <c r="C202" s="330" t="s">
        <v>8</v>
      </c>
      <c r="D202" s="330"/>
      <c r="E202" s="330"/>
      <c r="F202" s="330"/>
      <c r="G202" s="330"/>
      <c r="H202" s="23">
        <f>H203</f>
        <v>245842</v>
      </c>
      <c r="I202" s="23">
        <f>I203</f>
        <v>0</v>
      </c>
      <c r="J202" s="23">
        <f>J203</f>
        <v>245842</v>
      </c>
    </row>
    <row r="203" spans="3:10" s="26" customFormat="1" ht="11.25">
      <c r="C203" s="321" t="s">
        <v>124</v>
      </c>
      <c r="D203" s="321"/>
      <c r="E203" s="321"/>
      <c r="F203" s="321"/>
      <c r="G203" s="321"/>
      <c r="H203" s="25">
        <v>245842</v>
      </c>
      <c r="I203" s="25"/>
      <c r="J203" s="25">
        <f>SUM(H203:I203)</f>
        <v>245842</v>
      </c>
    </row>
    <row r="204" spans="3:10" s="26" customFormat="1" ht="9" customHeight="1">
      <c r="C204" s="28"/>
      <c r="D204" s="28"/>
      <c r="E204" s="28"/>
      <c r="F204" s="28"/>
      <c r="G204" s="28"/>
      <c r="H204" s="25"/>
      <c r="I204" s="25"/>
      <c r="J204" s="25"/>
    </row>
    <row r="205" spans="2:10" s="33" customFormat="1" ht="24.75" customHeight="1">
      <c r="B205" s="34" t="s">
        <v>210</v>
      </c>
      <c r="C205" s="309" t="s">
        <v>94</v>
      </c>
      <c r="D205" s="309"/>
      <c r="E205" s="309"/>
      <c r="F205" s="309"/>
      <c r="G205" s="309"/>
      <c r="H205" s="64"/>
      <c r="I205" s="64"/>
      <c r="J205" s="64"/>
    </row>
    <row r="206" spans="2:10" s="26" customFormat="1" ht="11.25">
      <c r="B206" s="21"/>
      <c r="C206" s="330" t="s">
        <v>4</v>
      </c>
      <c r="D206" s="330"/>
      <c r="E206" s="330"/>
      <c r="F206" s="330"/>
      <c r="G206" s="330"/>
      <c r="H206" s="23">
        <f>H207</f>
        <v>44</v>
      </c>
      <c r="I206" s="23">
        <f>I207</f>
        <v>0</v>
      </c>
      <c r="J206" s="23">
        <f>J207</f>
        <v>44</v>
      </c>
    </row>
    <row r="207" spans="2:10" s="26" customFormat="1" ht="11.25">
      <c r="B207" s="21"/>
      <c r="C207" s="325" t="s">
        <v>5</v>
      </c>
      <c r="D207" s="325"/>
      <c r="E207" s="325"/>
      <c r="F207" s="325"/>
      <c r="G207" s="325"/>
      <c r="H207" s="25">
        <v>44</v>
      </c>
      <c r="I207" s="25"/>
      <c r="J207" s="25">
        <f>SUM(H207:I207)</f>
        <v>44</v>
      </c>
    </row>
    <row r="208" spans="2:10" s="26" customFormat="1" ht="11.25">
      <c r="B208" s="21"/>
      <c r="C208" s="330" t="s">
        <v>8</v>
      </c>
      <c r="D208" s="330"/>
      <c r="E208" s="330"/>
      <c r="F208" s="330"/>
      <c r="G208" s="330"/>
      <c r="H208" s="23">
        <f>H209</f>
        <v>44</v>
      </c>
      <c r="I208" s="23">
        <f>I209</f>
        <v>0</v>
      </c>
      <c r="J208" s="23">
        <f>J209</f>
        <v>44</v>
      </c>
    </row>
    <row r="209" spans="3:10" s="26" customFormat="1" ht="11.25">
      <c r="C209" s="321" t="s">
        <v>9</v>
      </c>
      <c r="D209" s="321"/>
      <c r="E209" s="321"/>
      <c r="F209" s="321"/>
      <c r="G209" s="321"/>
      <c r="H209" s="25">
        <v>44</v>
      </c>
      <c r="I209" s="25"/>
      <c r="J209" s="25">
        <f>SUM(H209:I209)</f>
        <v>44</v>
      </c>
    </row>
    <row r="210" spans="8:10" s="26" customFormat="1" ht="8.25" customHeight="1">
      <c r="H210" s="25"/>
      <c r="I210" s="25"/>
      <c r="J210" s="25"/>
    </row>
    <row r="211" spans="2:10" s="33" customFormat="1" ht="25.5" customHeight="1">
      <c r="B211" s="34" t="s">
        <v>210</v>
      </c>
      <c r="C211" s="309" t="s">
        <v>99</v>
      </c>
      <c r="D211" s="309"/>
      <c r="E211" s="309"/>
      <c r="F211" s="309"/>
      <c r="G211" s="309"/>
      <c r="H211" s="64"/>
      <c r="I211" s="64"/>
      <c r="J211" s="64"/>
    </row>
    <row r="212" spans="2:10" s="26" customFormat="1" ht="11.25">
      <c r="B212" s="21"/>
      <c r="C212" s="330" t="s">
        <v>4</v>
      </c>
      <c r="D212" s="330"/>
      <c r="E212" s="330"/>
      <c r="F212" s="330"/>
      <c r="G212" s="330"/>
      <c r="H212" s="23">
        <f>SUM(H213:H214)</f>
        <v>7039</v>
      </c>
      <c r="I212" s="23">
        <f>SUM(I213:I214)</f>
        <v>1376</v>
      </c>
      <c r="J212" s="23">
        <f>SUM(J213:J214)</f>
        <v>8415</v>
      </c>
    </row>
    <row r="213" spans="2:10" s="26" customFormat="1" ht="11.25">
      <c r="B213" s="21"/>
      <c r="C213" s="325" t="s">
        <v>5</v>
      </c>
      <c r="D213" s="325"/>
      <c r="E213" s="325"/>
      <c r="F213" s="325"/>
      <c r="G213" s="325"/>
      <c r="H213" s="25">
        <v>973</v>
      </c>
      <c r="I213" s="25"/>
      <c r="J213" s="25">
        <f>SUM(H213:I213)</f>
        <v>973</v>
      </c>
    </row>
    <row r="214" spans="2:12" s="84" customFormat="1" ht="11.25">
      <c r="B214" s="92"/>
      <c r="C214" s="325" t="s">
        <v>192</v>
      </c>
      <c r="D214" s="325"/>
      <c r="E214" s="325"/>
      <c r="F214" s="325"/>
      <c r="G214" s="325"/>
      <c r="H214" s="86">
        <v>6066</v>
      </c>
      <c r="I214" s="86">
        <v>1376</v>
      </c>
      <c r="J214" s="25">
        <f>SUM(H214:I214)</f>
        <v>7442</v>
      </c>
      <c r="K214" s="81"/>
      <c r="L214" s="81"/>
    </row>
    <row r="215" spans="2:10" s="26" customFormat="1" ht="11.25">
      <c r="B215" s="21"/>
      <c r="C215" s="330" t="s">
        <v>8</v>
      </c>
      <c r="D215" s="330"/>
      <c r="E215" s="330"/>
      <c r="F215" s="330"/>
      <c r="G215" s="330"/>
      <c r="H215" s="23">
        <f>H216</f>
        <v>7039</v>
      </c>
      <c r="I215" s="23">
        <f>I216</f>
        <v>1376</v>
      </c>
      <c r="J215" s="23">
        <f>J216</f>
        <v>8415</v>
      </c>
    </row>
    <row r="216" spans="3:10" s="26" customFormat="1" ht="11.25">
      <c r="C216" s="321" t="s">
        <v>9</v>
      </c>
      <c r="D216" s="321"/>
      <c r="E216" s="321"/>
      <c r="F216" s="321"/>
      <c r="G216" s="321"/>
      <c r="H216" s="25">
        <f>973+6066</f>
        <v>7039</v>
      </c>
      <c r="I216" s="25">
        <v>1376</v>
      </c>
      <c r="J216" s="25">
        <f>SUM(H216:I216)</f>
        <v>8415</v>
      </c>
    </row>
    <row r="217" spans="3:10" s="26" customFormat="1" ht="8.25" customHeight="1">
      <c r="C217" s="28"/>
      <c r="D217" s="28"/>
      <c r="E217" s="28"/>
      <c r="F217" s="28"/>
      <c r="G217" s="28"/>
      <c r="H217" s="25"/>
      <c r="I217" s="25"/>
      <c r="J217" s="25"/>
    </row>
    <row r="218" spans="2:10" s="26" customFormat="1" ht="12">
      <c r="B218" s="18" t="s">
        <v>210</v>
      </c>
      <c r="C218" s="340" t="s">
        <v>102</v>
      </c>
      <c r="D218" s="340"/>
      <c r="E218" s="340"/>
      <c r="F218" s="340"/>
      <c r="G218" s="340"/>
      <c r="H218" s="19"/>
      <c r="I218" s="19"/>
      <c r="J218" s="19"/>
    </row>
    <row r="219" spans="2:10" s="26" customFormat="1" ht="11.25">
      <c r="B219" s="21"/>
      <c r="C219" s="330" t="s">
        <v>4</v>
      </c>
      <c r="D219" s="330"/>
      <c r="E219" s="330"/>
      <c r="F219" s="330"/>
      <c r="G219" s="330"/>
      <c r="H219" s="23">
        <f>H220+H223</f>
        <v>41424</v>
      </c>
      <c r="I219" s="23">
        <f>I220+I223</f>
        <v>33809</v>
      </c>
      <c r="J219" s="23">
        <f>J220+J223</f>
        <v>75233</v>
      </c>
    </row>
    <row r="220" spans="2:10" s="26" customFormat="1" ht="11.25">
      <c r="B220" s="21"/>
      <c r="C220" s="325" t="s">
        <v>193</v>
      </c>
      <c r="D220" s="325"/>
      <c r="E220" s="325"/>
      <c r="F220" s="325"/>
      <c r="G220" s="325"/>
      <c r="H220" s="25">
        <f>H221+H222</f>
        <v>2374</v>
      </c>
      <c r="I220" s="25"/>
      <c r="J220" s="25">
        <f>SUM(H220:I220)</f>
        <v>2374</v>
      </c>
    </row>
    <row r="221" spans="2:10" s="77" customFormat="1" ht="11.25">
      <c r="B221" s="90"/>
      <c r="C221" s="332" t="s">
        <v>194</v>
      </c>
      <c r="D221" s="332"/>
      <c r="E221" s="332"/>
      <c r="F221" s="332"/>
      <c r="G221" s="332"/>
      <c r="H221" s="41">
        <v>590</v>
      </c>
      <c r="I221" s="41"/>
      <c r="J221" s="41">
        <f>SUM(H221:I221)</f>
        <v>590</v>
      </c>
    </row>
    <row r="222" spans="2:10" s="77" customFormat="1" ht="11.25">
      <c r="B222" s="90"/>
      <c r="C222" s="332" t="s">
        <v>185</v>
      </c>
      <c r="D222" s="332"/>
      <c r="E222" s="332"/>
      <c r="F222" s="332"/>
      <c r="G222" s="332"/>
      <c r="H222" s="41">
        <v>1784</v>
      </c>
      <c r="I222" s="41"/>
      <c r="J222" s="41">
        <f>SUM(H222:I222)</f>
        <v>1784</v>
      </c>
    </row>
    <row r="223" spans="2:10" s="84" customFormat="1" ht="11.25">
      <c r="B223" s="93"/>
      <c r="C223" s="325" t="s">
        <v>192</v>
      </c>
      <c r="D223" s="325"/>
      <c r="E223" s="325"/>
      <c r="F223" s="325"/>
      <c r="G223" s="325"/>
      <c r="H223" s="86">
        <v>39050</v>
      </c>
      <c r="I223" s="86">
        <v>33809</v>
      </c>
      <c r="J223" s="86">
        <f>SUM(H223:I223)</f>
        <v>72859</v>
      </c>
    </row>
    <row r="224" spans="2:10" s="26" customFormat="1" ht="11.25">
      <c r="B224" s="21"/>
      <c r="C224" s="330" t="s">
        <v>8</v>
      </c>
      <c r="D224" s="330"/>
      <c r="E224" s="330"/>
      <c r="F224" s="330"/>
      <c r="G224" s="330"/>
      <c r="H224" s="23">
        <f>H225</f>
        <v>41424</v>
      </c>
      <c r="I224" s="23">
        <f>I225</f>
        <v>33809</v>
      </c>
      <c r="J224" s="23">
        <f>J225</f>
        <v>75233</v>
      </c>
    </row>
    <row r="225" spans="3:10" s="26" customFormat="1" ht="11.25">
      <c r="C225" s="321" t="s">
        <v>9</v>
      </c>
      <c r="D225" s="321"/>
      <c r="E225" s="321"/>
      <c r="F225" s="321"/>
      <c r="G225" s="321"/>
      <c r="H225" s="25">
        <v>41424</v>
      </c>
      <c r="I225" s="25">
        <v>33809</v>
      </c>
      <c r="J225" s="25">
        <f>SUM(H225:I225)</f>
        <v>75233</v>
      </c>
    </row>
    <row r="226" spans="4:10" s="77" customFormat="1" ht="11.25">
      <c r="D226" s="297" t="s">
        <v>206</v>
      </c>
      <c r="E226" s="297"/>
      <c r="F226" s="297"/>
      <c r="G226" s="297"/>
      <c r="H226" s="41">
        <v>590</v>
      </c>
      <c r="I226" s="41">
        <v>2264</v>
      </c>
      <c r="J226" s="41">
        <f>SUM(H226:I226)</f>
        <v>2854</v>
      </c>
    </row>
    <row r="227" spans="3:10" s="26" customFormat="1" ht="9" customHeight="1">
      <c r="C227" s="28"/>
      <c r="D227" s="28"/>
      <c r="E227" s="28"/>
      <c r="F227" s="28"/>
      <c r="G227" s="28"/>
      <c r="H227" s="25"/>
      <c r="I227" s="25"/>
      <c r="J227" s="25"/>
    </row>
    <row r="228" spans="2:10" s="33" customFormat="1" ht="23.25" customHeight="1">
      <c r="B228" s="34" t="s">
        <v>210</v>
      </c>
      <c r="C228" s="309" t="s">
        <v>16</v>
      </c>
      <c r="D228" s="309"/>
      <c r="E228" s="309"/>
      <c r="F228" s="309"/>
      <c r="G228" s="309"/>
      <c r="H228" s="25"/>
      <c r="I228" s="25"/>
      <c r="J228" s="25"/>
    </row>
    <row r="229" spans="2:10" s="26" customFormat="1" ht="11.25">
      <c r="B229" s="21"/>
      <c r="C229" s="330" t="s">
        <v>4</v>
      </c>
      <c r="D229" s="330"/>
      <c r="E229" s="330"/>
      <c r="F229" s="330"/>
      <c r="G229" s="330"/>
      <c r="H229" s="23">
        <f>H230+H231</f>
        <v>126</v>
      </c>
      <c r="I229" s="23">
        <f>I230+I231</f>
        <v>-126</v>
      </c>
      <c r="J229" s="23">
        <f>J230+J231</f>
        <v>0</v>
      </c>
    </row>
    <row r="230" spans="2:10" s="26" customFormat="1" ht="11.25">
      <c r="B230" s="21"/>
      <c r="C230" s="325" t="s">
        <v>17</v>
      </c>
      <c r="D230" s="325"/>
      <c r="E230" s="325"/>
      <c r="F230" s="325"/>
      <c r="G230" s="325"/>
      <c r="H230" s="25">
        <v>126</v>
      </c>
      <c r="I230" s="25"/>
      <c r="J230" s="25">
        <f>SUM(H230:I230)</f>
        <v>126</v>
      </c>
    </row>
    <row r="231" spans="2:10" s="26" customFormat="1" ht="11.25">
      <c r="B231" s="21"/>
      <c r="C231" s="325" t="s">
        <v>493</v>
      </c>
      <c r="D231" s="325"/>
      <c r="E231" s="325"/>
      <c r="F231" s="325"/>
      <c r="G231" s="325"/>
      <c r="H231" s="25">
        <v>0</v>
      </c>
      <c r="I231" s="25">
        <v>-126</v>
      </c>
      <c r="J231" s="25">
        <f>SUM(H231:I231)</f>
        <v>-126</v>
      </c>
    </row>
    <row r="232" spans="3:10" s="26" customFormat="1" ht="15" customHeight="1">
      <c r="C232" s="28"/>
      <c r="D232" s="28"/>
      <c r="E232" s="28"/>
      <c r="F232" s="28"/>
      <c r="G232" s="28"/>
      <c r="H232" s="25"/>
      <c r="I232" s="25"/>
      <c r="J232" s="25"/>
    </row>
    <row r="233" spans="2:8" s="33" customFormat="1" ht="14.25" customHeight="1">
      <c r="B233" s="34" t="s">
        <v>210</v>
      </c>
      <c r="C233" s="309" t="s">
        <v>101</v>
      </c>
      <c r="D233" s="309"/>
      <c r="E233" s="309"/>
      <c r="F233" s="309"/>
      <c r="G233" s="309"/>
      <c r="H233" s="309"/>
    </row>
    <row r="234" spans="2:10" s="26" customFormat="1" ht="11.25">
      <c r="B234" s="21"/>
      <c r="C234" s="330" t="s">
        <v>4</v>
      </c>
      <c r="D234" s="330"/>
      <c r="E234" s="330"/>
      <c r="F234" s="330"/>
      <c r="G234" s="330"/>
      <c r="H234" s="23">
        <f>H235</f>
        <v>375</v>
      </c>
      <c r="I234" s="23">
        <f>I235</f>
        <v>0</v>
      </c>
      <c r="J234" s="23">
        <f>J235</f>
        <v>375</v>
      </c>
    </row>
    <row r="235" spans="2:10" s="26" customFormat="1" ht="11.25">
      <c r="B235" s="27"/>
      <c r="C235" s="325" t="s">
        <v>17</v>
      </c>
      <c r="D235" s="325"/>
      <c r="E235" s="325"/>
      <c r="F235" s="325"/>
      <c r="G235" s="325"/>
      <c r="H235" s="25">
        <v>375</v>
      </c>
      <c r="I235" s="25"/>
      <c r="J235" s="25">
        <f>SUM(H235:I235)</f>
        <v>375</v>
      </c>
    </row>
    <row r="236" spans="2:10" s="26" customFormat="1" ht="11.25">
      <c r="B236" s="21"/>
      <c r="C236" s="330" t="s">
        <v>8</v>
      </c>
      <c r="D236" s="330"/>
      <c r="E236" s="330"/>
      <c r="F236" s="330"/>
      <c r="G236" s="330"/>
      <c r="H236" s="23">
        <f>H237</f>
        <v>375</v>
      </c>
      <c r="I236" s="23">
        <f>I237</f>
        <v>0</v>
      </c>
      <c r="J236" s="23">
        <f>J237</f>
        <v>375</v>
      </c>
    </row>
    <row r="237" spans="3:10" s="26" customFormat="1" ht="11.25">
      <c r="C237" s="321" t="s">
        <v>9</v>
      </c>
      <c r="D237" s="321"/>
      <c r="E237" s="321"/>
      <c r="F237" s="321"/>
      <c r="G237" s="321"/>
      <c r="H237" s="25">
        <v>375</v>
      </c>
      <c r="I237" s="25"/>
      <c r="J237" s="25">
        <f>SUM(H237:I237)</f>
        <v>375</v>
      </c>
    </row>
    <row r="238" spans="3:10" s="26" customFormat="1" ht="12" customHeight="1">
      <c r="C238" s="28"/>
      <c r="D238" s="28"/>
      <c r="E238" s="28"/>
      <c r="F238" s="28"/>
      <c r="G238" s="28"/>
      <c r="H238" s="25"/>
      <c r="I238" s="25"/>
      <c r="J238" s="25"/>
    </row>
    <row r="239" spans="2:10" s="26" customFormat="1" ht="42.75" customHeight="1">
      <c r="B239" s="98" t="s">
        <v>210</v>
      </c>
      <c r="C239" s="309" t="s">
        <v>141</v>
      </c>
      <c r="D239" s="309"/>
      <c r="E239" s="309"/>
      <c r="F239" s="309"/>
      <c r="G239" s="309"/>
      <c r="H239" s="19"/>
      <c r="I239" s="19"/>
      <c r="J239" s="19"/>
    </row>
    <row r="240" spans="2:10" s="26" customFormat="1" ht="11.25">
      <c r="B240" s="21"/>
      <c r="C240" s="330" t="s">
        <v>4</v>
      </c>
      <c r="D240" s="330"/>
      <c r="E240" s="330"/>
      <c r="F240" s="330"/>
      <c r="G240" s="330"/>
      <c r="H240" s="23">
        <f>H241+H244+H245</f>
        <v>17794</v>
      </c>
      <c r="I240" s="23">
        <f>I241+I244+I245</f>
        <v>0</v>
      </c>
      <c r="J240" s="23">
        <f>J241+J244+J245</f>
        <v>17794</v>
      </c>
    </row>
    <row r="241" spans="2:10" s="26" customFormat="1" ht="11.25">
      <c r="B241" s="21"/>
      <c r="C241" s="325" t="s">
        <v>193</v>
      </c>
      <c r="D241" s="325"/>
      <c r="E241" s="325"/>
      <c r="F241" s="325"/>
      <c r="G241" s="325"/>
      <c r="H241" s="25">
        <f>H242+H243</f>
        <v>5347</v>
      </c>
      <c r="I241" s="25"/>
      <c r="J241" s="25">
        <f>J242+J243</f>
        <v>5347</v>
      </c>
    </row>
    <row r="242" spans="2:10" s="77" customFormat="1" ht="11.25">
      <c r="B242" s="90"/>
      <c r="C242" s="332" t="s">
        <v>194</v>
      </c>
      <c r="D242" s="332"/>
      <c r="E242" s="332"/>
      <c r="F242" s="332"/>
      <c r="G242" s="332"/>
      <c r="H242" s="41">
        <v>3523</v>
      </c>
      <c r="I242" s="41"/>
      <c r="J242" s="41">
        <f>SUM(H242:I242)</f>
        <v>3523</v>
      </c>
    </row>
    <row r="243" spans="2:10" s="94" customFormat="1" ht="11.25">
      <c r="B243" s="95"/>
      <c r="C243" s="332" t="s">
        <v>185</v>
      </c>
      <c r="D243" s="332"/>
      <c r="E243" s="332"/>
      <c r="F243" s="332"/>
      <c r="G243" s="332"/>
      <c r="H243" s="96">
        <v>1824</v>
      </c>
      <c r="I243" s="96"/>
      <c r="J243" s="96">
        <f>SUM(H243:I243)</f>
        <v>1824</v>
      </c>
    </row>
    <row r="244" spans="2:10" s="84" customFormat="1" ht="11.25">
      <c r="B244" s="92"/>
      <c r="C244" s="325" t="s">
        <v>195</v>
      </c>
      <c r="D244" s="325"/>
      <c r="E244" s="325"/>
      <c r="F244" s="325"/>
      <c r="G244" s="325"/>
      <c r="H244" s="86">
        <v>1041</v>
      </c>
      <c r="I244" s="86"/>
      <c r="J244" s="86">
        <f>SUM(H244:I244)</f>
        <v>1041</v>
      </c>
    </row>
    <row r="245" spans="2:10" s="84" customFormat="1" ht="11.25">
      <c r="B245" s="92"/>
      <c r="C245" s="325" t="s">
        <v>192</v>
      </c>
      <c r="D245" s="325"/>
      <c r="E245" s="325"/>
      <c r="F245" s="325"/>
      <c r="G245" s="325"/>
      <c r="H245" s="86">
        <v>11406</v>
      </c>
      <c r="I245" s="86"/>
      <c r="J245" s="86">
        <f>SUM(H245:I245)</f>
        <v>11406</v>
      </c>
    </row>
    <row r="246" spans="2:10" s="84" customFormat="1" ht="11.25">
      <c r="B246" s="92"/>
      <c r="C246" s="306" t="s">
        <v>8</v>
      </c>
      <c r="D246" s="306"/>
      <c r="E246" s="306"/>
      <c r="F246" s="306"/>
      <c r="G246" s="306"/>
      <c r="H246" s="85">
        <f>H247</f>
        <v>17794</v>
      </c>
      <c r="I246" s="85">
        <f>I247</f>
        <v>0</v>
      </c>
      <c r="J246" s="85">
        <f>J247</f>
        <v>17794</v>
      </c>
    </row>
    <row r="247" spans="3:10" s="26" customFormat="1" ht="11.25">
      <c r="C247" s="321" t="s">
        <v>9</v>
      </c>
      <c r="D247" s="321"/>
      <c r="E247" s="321"/>
      <c r="F247" s="321"/>
      <c r="G247" s="321"/>
      <c r="H247" s="25">
        <v>17794</v>
      </c>
      <c r="I247" s="25"/>
      <c r="J247" s="25">
        <f>SUM(H247:I247)</f>
        <v>17794</v>
      </c>
    </row>
    <row r="248" spans="4:10" s="77" customFormat="1" ht="11.25">
      <c r="D248" s="297" t="s">
        <v>206</v>
      </c>
      <c r="E248" s="297"/>
      <c r="F248" s="297"/>
      <c r="G248" s="297"/>
      <c r="H248" s="41">
        <v>262</v>
      </c>
      <c r="I248" s="41">
        <v>3913</v>
      </c>
      <c r="J248" s="41">
        <f>SUM(H248:I248)</f>
        <v>4175</v>
      </c>
    </row>
    <row r="249" spans="3:10" s="26" customFormat="1" ht="9.75" customHeight="1">
      <c r="C249" s="28"/>
      <c r="D249" s="28"/>
      <c r="E249" s="28"/>
      <c r="F249" s="28"/>
      <c r="G249" s="28"/>
      <c r="H249" s="25"/>
      <c r="I249" s="25"/>
      <c r="J249" s="25"/>
    </row>
    <row r="250" spans="3:10" s="26" customFormat="1" ht="9.75" customHeight="1">
      <c r="C250" s="28"/>
      <c r="D250" s="28"/>
      <c r="E250" s="28"/>
      <c r="F250" s="28"/>
      <c r="G250" s="28"/>
      <c r="H250" s="25"/>
      <c r="I250" s="25"/>
      <c r="J250" s="25"/>
    </row>
    <row r="251" spans="3:10" s="26" customFormat="1" ht="9.75" customHeight="1">
      <c r="C251" s="28"/>
      <c r="D251" s="28"/>
      <c r="E251" s="28"/>
      <c r="F251" s="28"/>
      <c r="G251" s="28"/>
      <c r="H251" s="25"/>
      <c r="I251" s="25"/>
      <c r="J251" s="25"/>
    </row>
    <row r="252" spans="3:10" s="26" customFormat="1" ht="9.75" customHeight="1">
      <c r="C252" s="28"/>
      <c r="D252" s="28"/>
      <c r="E252" s="28"/>
      <c r="F252" s="28"/>
      <c r="G252" s="28"/>
      <c r="H252" s="25"/>
      <c r="I252" s="25"/>
      <c r="J252" s="25"/>
    </row>
    <row r="253" spans="3:10" s="26" customFormat="1" ht="9.75" customHeight="1">
      <c r="C253" s="28"/>
      <c r="D253" s="28"/>
      <c r="E253" s="28"/>
      <c r="F253" s="28"/>
      <c r="G253" s="28"/>
      <c r="H253" s="25"/>
      <c r="I253" s="25"/>
      <c r="J253" s="25"/>
    </row>
    <row r="254" spans="3:10" s="26" customFormat="1" ht="9.75" customHeight="1">
      <c r="C254" s="28"/>
      <c r="D254" s="28"/>
      <c r="E254" s="28"/>
      <c r="F254" s="28"/>
      <c r="G254" s="28"/>
      <c r="H254" s="25"/>
      <c r="I254" s="25"/>
      <c r="J254" s="25"/>
    </row>
    <row r="255" spans="3:10" s="26" customFormat="1" ht="9.75" customHeight="1">
      <c r="C255" s="28"/>
      <c r="D255" s="28"/>
      <c r="E255" s="28"/>
      <c r="F255" s="28"/>
      <c r="G255" s="28"/>
      <c r="H255" s="25"/>
      <c r="I255" s="25"/>
      <c r="J255" s="25"/>
    </row>
    <row r="256" spans="3:10" s="26" customFormat="1" ht="9.75" customHeight="1">
      <c r="C256" s="28"/>
      <c r="D256" s="28"/>
      <c r="E256" s="28"/>
      <c r="F256" s="28"/>
      <c r="G256" s="28"/>
      <c r="H256" s="25"/>
      <c r="I256" s="25"/>
      <c r="J256" s="25"/>
    </row>
    <row r="257" spans="2:10" s="6" customFormat="1" ht="50.25" customHeight="1">
      <c r="B257" s="7" t="s">
        <v>1</v>
      </c>
      <c r="C257" s="327" t="s">
        <v>2</v>
      </c>
      <c r="D257" s="327"/>
      <c r="E257" s="327"/>
      <c r="F257" s="327"/>
      <c r="G257" s="327"/>
      <c r="H257" s="8" t="s">
        <v>442</v>
      </c>
      <c r="I257" s="8" t="s">
        <v>440</v>
      </c>
      <c r="J257" s="8" t="s">
        <v>441</v>
      </c>
    </row>
    <row r="258" spans="3:10" s="26" customFormat="1" ht="9.75" customHeight="1">
      <c r="C258" s="28"/>
      <c r="D258" s="28"/>
      <c r="E258" s="28"/>
      <c r="F258" s="28"/>
      <c r="G258" s="28"/>
      <c r="H258" s="25"/>
      <c r="I258" s="25"/>
      <c r="J258" s="25"/>
    </row>
    <row r="259" spans="2:10" s="26" customFormat="1" ht="36" customHeight="1">
      <c r="B259" s="98" t="s">
        <v>210</v>
      </c>
      <c r="C259" s="300" t="s">
        <v>58</v>
      </c>
      <c r="D259" s="300"/>
      <c r="E259" s="300"/>
      <c r="F259" s="300"/>
      <c r="G259" s="300"/>
      <c r="H259" s="25"/>
      <c r="I259" s="25"/>
      <c r="J259" s="25"/>
    </row>
    <row r="260" spans="1:10" s="26" customFormat="1" ht="11.25">
      <c r="A260" s="84"/>
      <c r="B260" s="84"/>
      <c r="C260" s="306" t="s">
        <v>4</v>
      </c>
      <c r="D260" s="306"/>
      <c r="E260" s="306"/>
      <c r="F260" s="306"/>
      <c r="G260" s="306"/>
      <c r="H260" s="85">
        <f>H261+H262+H263+H264</f>
        <v>14734</v>
      </c>
      <c r="I260" s="85">
        <f>I261+I262+I263+I264</f>
        <v>22519</v>
      </c>
      <c r="J260" s="85">
        <f>J261+J262+J263+J264</f>
        <v>37253</v>
      </c>
    </row>
    <row r="261" spans="3:10" s="84" customFormat="1" ht="11.25">
      <c r="C261" s="313" t="s">
        <v>17</v>
      </c>
      <c r="D261" s="313"/>
      <c r="E261" s="313"/>
      <c r="F261" s="313"/>
      <c r="G261" s="313"/>
      <c r="H261" s="86">
        <v>4932</v>
      </c>
      <c r="I261" s="86"/>
      <c r="J261" s="86">
        <f>SUM(H261:I261)</f>
        <v>4932</v>
      </c>
    </row>
    <row r="262" spans="3:10" s="84" customFormat="1" ht="11.25">
      <c r="C262" s="325" t="s">
        <v>192</v>
      </c>
      <c r="D262" s="325"/>
      <c r="E262" s="325"/>
      <c r="F262" s="325"/>
      <c r="G262" s="325"/>
      <c r="H262" s="86">
        <v>5769</v>
      </c>
      <c r="I262" s="86"/>
      <c r="J262" s="86">
        <f>SUM(H262:I262)</f>
        <v>5769</v>
      </c>
    </row>
    <row r="263" spans="3:10" s="84" customFormat="1" ht="11.25">
      <c r="C263" s="325" t="s">
        <v>195</v>
      </c>
      <c r="D263" s="325"/>
      <c r="E263" s="325"/>
      <c r="F263" s="325"/>
      <c r="G263" s="325"/>
      <c r="H263" s="86">
        <v>4033</v>
      </c>
      <c r="I263" s="86"/>
      <c r="J263" s="86">
        <f>SUM(H263:I263)</f>
        <v>4033</v>
      </c>
    </row>
    <row r="264" spans="3:10" s="84" customFormat="1" ht="11.25">
      <c r="C264" s="325" t="s">
        <v>28</v>
      </c>
      <c r="D264" s="325"/>
      <c r="E264" s="325"/>
      <c r="F264" s="325"/>
      <c r="G264" s="325"/>
      <c r="H264" s="86">
        <v>0</v>
      </c>
      <c r="I264" s="86">
        <v>22519</v>
      </c>
      <c r="J264" s="86">
        <f>SUM(H264:I264)</f>
        <v>22519</v>
      </c>
    </row>
    <row r="265" spans="3:10" s="84" customFormat="1" ht="11.25">
      <c r="C265" s="306" t="s">
        <v>8</v>
      </c>
      <c r="D265" s="306"/>
      <c r="E265" s="306"/>
      <c r="F265" s="306"/>
      <c r="G265" s="306"/>
      <c r="H265" s="85">
        <f>H266</f>
        <v>14734</v>
      </c>
      <c r="I265" s="85">
        <f>I266</f>
        <v>22519</v>
      </c>
      <c r="J265" s="85">
        <f>J266</f>
        <v>37253</v>
      </c>
    </row>
    <row r="266" spans="1:10" s="26" customFormat="1" ht="11.25">
      <c r="A266" s="84"/>
      <c r="B266" s="84"/>
      <c r="C266" s="321" t="s">
        <v>9</v>
      </c>
      <c r="D266" s="321"/>
      <c r="E266" s="321"/>
      <c r="F266" s="321"/>
      <c r="G266" s="321"/>
      <c r="H266" s="86">
        <v>14734</v>
      </c>
      <c r="I266" s="86">
        <v>22519</v>
      </c>
      <c r="J266" s="86">
        <f>SUM(H266:I266)</f>
        <v>37253</v>
      </c>
    </row>
    <row r="267" spans="1:10" s="77" customFormat="1" ht="11.25">
      <c r="A267" s="94"/>
      <c r="B267" s="94"/>
      <c r="D267" s="297" t="s">
        <v>206</v>
      </c>
      <c r="E267" s="297"/>
      <c r="F267" s="297"/>
      <c r="G267" s="297"/>
      <c r="H267" s="96">
        <v>1200</v>
      </c>
      <c r="I267" s="96">
        <v>6665</v>
      </c>
      <c r="J267" s="96">
        <f>SUM(H267:I267)</f>
        <v>7865</v>
      </c>
    </row>
    <row r="268" spans="3:10" s="26" customFormat="1" ht="12.75" customHeight="1">
      <c r="C268" s="28"/>
      <c r="D268" s="28"/>
      <c r="E268" s="28"/>
      <c r="F268" s="28"/>
      <c r="G268" s="28"/>
      <c r="H268" s="25"/>
      <c r="I268" s="25"/>
      <c r="J268" s="25"/>
    </row>
    <row r="269" spans="1:10" s="26" customFormat="1" ht="26.25" customHeight="1">
      <c r="A269" s="84"/>
      <c r="B269" s="100" t="s">
        <v>210</v>
      </c>
      <c r="C269" s="307" t="s">
        <v>56</v>
      </c>
      <c r="D269" s="307"/>
      <c r="E269" s="307"/>
      <c r="F269" s="307"/>
      <c r="G269" s="307"/>
      <c r="H269" s="86"/>
      <c r="I269" s="86"/>
      <c r="J269" s="86"/>
    </row>
    <row r="270" spans="1:10" s="26" customFormat="1" ht="11.25">
      <c r="A270" s="84"/>
      <c r="B270" s="84"/>
      <c r="C270" s="306" t="s">
        <v>4</v>
      </c>
      <c r="D270" s="306"/>
      <c r="E270" s="306"/>
      <c r="F270" s="306"/>
      <c r="G270" s="306"/>
      <c r="H270" s="85">
        <f>H271+H274+H275</f>
        <v>4868</v>
      </c>
      <c r="I270" s="85">
        <f>I271+I274+I275</f>
        <v>27176</v>
      </c>
      <c r="J270" s="85">
        <f>J271+J274+J275</f>
        <v>32044</v>
      </c>
    </row>
    <row r="271" spans="1:10" s="26" customFormat="1" ht="11.25">
      <c r="A271" s="84"/>
      <c r="B271" s="84"/>
      <c r="C271" s="325" t="s">
        <v>193</v>
      </c>
      <c r="D271" s="325"/>
      <c r="E271" s="325"/>
      <c r="F271" s="325"/>
      <c r="G271" s="325"/>
      <c r="H271" s="86">
        <f>H272+H273</f>
        <v>2788</v>
      </c>
      <c r="I271" s="86"/>
      <c r="J271" s="86">
        <f>SUM(H271:I271)</f>
        <v>2788</v>
      </c>
    </row>
    <row r="272" spans="1:10" s="77" customFormat="1" ht="11.25">
      <c r="A272" s="94"/>
      <c r="B272" s="94"/>
      <c r="C272" s="332" t="s">
        <v>194</v>
      </c>
      <c r="D272" s="332"/>
      <c r="E272" s="332"/>
      <c r="F272" s="332"/>
      <c r="G272" s="332"/>
      <c r="H272" s="96">
        <v>1139</v>
      </c>
      <c r="I272" s="96"/>
      <c r="J272" s="96">
        <f>SUM(H272:I272)</f>
        <v>1139</v>
      </c>
    </row>
    <row r="273" spans="1:10" s="77" customFormat="1" ht="11.25">
      <c r="A273" s="94"/>
      <c r="B273" s="94"/>
      <c r="C273" s="332" t="s">
        <v>185</v>
      </c>
      <c r="D273" s="332"/>
      <c r="E273" s="332"/>
      <c r="F273" s="332"/>
      <c r="G273" s="332"/>
      <c r="H273" s="96">
        <v>1649</v>
      </c>
      <c r="I273" s="96"/>
      <c r="J273" s="96">
        <f>SUM(H273:I273)</f>
        <v>1649</v>
      </c>
    </row>
    <row r="274" spans="3:10" s="84" customFormat="1" ht="11.25">
      <c r="C274" s="325" t="s">
        <v>195</v>
      </c>
      <c r="D274" s="325"/>
      <c r="E274" s="325"/>
      <c r="F274" s="325"/>
      <c r="G274" s="325"/>
      <c r="H274" s="86">
        <v>2080</v>
      </c>
      <c r="I274" s="86">
        <v>445</v>
      </c>
      <c r="J274" s="86">
        <f>SUM(H274:I274)</f>
        <v>2525</v>
      </c>
    </row>
    <row r="275" spans="3:10" s="84" customFormat="1" ht="11.25">
      <c r="C275" s="325" t="s">
        <v>28</v>
      </c>
      <c r="D275" s="325"/>
      <c r="E275" s="325"/>
      <c r="F275" s="325"/>
      <c r="G275" s="325"/>
      <c r="H275" s="86">
        <v>0</v>
      </c>
      <c r="I275" s="86">
        <v>26731</v>
      </c>
      <c r="J275" s="86">
        <f>SUM(H275:I275)</f>
        <v>26731</v>
      </c>
    </row>
    <row r="276" spans="1:10" s="26" customFormat="1" ht="11.25">
      <c r="A276" s="84"/>
      <c r="B276" s="84"/>
      <c r="C276" s="306" t="s">
        <v>8</v>
      </c>
      <c r="D276" s="306"/>
      <c r="E276" s="306"/>
      <c r="F276" s="306"/>
      <c r="G276" s="306"/>
      <c r="H276" s="85">
        <f>H277</f>
        <v>4868</v>
      </c>
      <c r="I276" s="85">
        <f>I277</f>
        <v>27176</v>
      </c>
      <c r="J276" s="85">
        <f>J277</f>
        <v>32044</v>
      </c>
    </row>
    <row r="277" spans="1:10" s="26" customFormat="1" ht="11.25">
      <c r="A277" s="84"/>
      <c r="B277" s="84"/>
      <c r="C277" s="321" t="s">
        <v>9</v>
      </c>
      <c r="D277" s="321"/>
      <c r="E277" s="321"/>
      <c r="F277" s="321"/>
      <c r="G277" s="321"/>
      <c r="H277" s="86">
        <v>4868</v>
      </c>
      <c r="I277" s="86">
        <v>27176</v>
      </c>
      <c r="J277" s="86">
        <f>SUM(H277:I277)</f>
        <v>32044</v>
      </c>
    </row>
    <row r="278" spans="1:10" s="77" customFormat="1" ht="11.25">
      <c r="A278" s="94"/>
      <c r="B278" s="94"/>
      <c r="D278" s="297" t="s">
        <v>206</v>
      </c>
      <c r="E278" s="297"/>
      <c r="F278" s="297"/>
      <c r="G278" s="297"/>
      <c r="H278" s="96">
        <v>882</v>
      </c>
      <c r="I278" s="96">
        <v>16886</v>
      </c>
      <c r="J278" s="96">
        <f>SUM(H278:I278)</f>
        <v>17768</v>
      </c>
    </row>
    <row r="279" spans="3:10" s="26" customFormat="1" ht="11.25">
      <c r="C279" s="28"/>
      <c r="D279" s="28"/>
      <c r="E279" s="28"/>
      <c r="F279" s="28"/>
      <c r="G279" s="28"/>
      <c r="H279" s="25"/>
      <c r="I279" s="25"/>
      <c r="J279" s="25"/>
    </row>
    <row r="280" spans="2:10" s="26" customFormat="1" ht="36" customHeight="1">
      <c r="B280" s="98" t="s">
        <v>210</v>
      </c>
      <c r="C280" s="300" t="s">
        <v>55</v>
      </c>
      <c r="D280" s="300"/>
      <c r="E280" s="300"/>
      <c r="F280" s="300"/>
      <c r="G280" s="300"/>
      <c r="H280" s="25"/>
      <c r="I280" s="25"/>
      <c r="J280" s="25"/>
    </row>
    <row r="281" spans="3:10" s="26" customFormat="1" ht="11.25">
      <c r="C281" s="330" t="s">
        <v>4</v>
      </c>
      <c r="D281" s="330"/>
      <c r="E281" s="330"/>
      <c r="F281" s="330"/>
      <c r="G281" s="330"/>
      <c r="H281" s="23">
        <f>H282+H285</f>
        <v>1314</v>
      </c>
      <c r="I281" s="23">
        <f>I282+I285</f>
        <v>147</v>
      </c>
      <c r="J281" s="23">
        <f>J282+J285</f>
        <v>1461</v>
      </c>
    </row>
    <row r="282" spans="3:10" s="26" customFormat="1" ht="11.25">
      <c r="C282" s="325" t="s">
        <v>193</v>
      </c>
      <c r="D282" s="325"/>
      <c r="E282" s="325"/>
      <c r="F282" s="325"/>
      <c r="G282" s="325"/>
      <c r="H282" s="25">
        <f>H283+H284</f>
        <v>1314</v>
      </c>
      <c r="I282" s="25"/>
      <c r="J282" s="25">
        <f>J283+J284</f>
        <v>1314</v>
      </c>
    </row>
    <row r="283" spans="3:10" s="77" customFormat="1" ht="11.25">
      <c r="C283" s="332" t="s">
        <v>194</v>
      </c>
      <c r="D283" s="332"/>
      <c r="E283" s="332"/>
      <c r="F283" s="332"/>
      <c r="G283" s="332"/>
      <c r="H283" s="41">
        <v>108</v>
      </c>
      <c r="I283" s="41"/>
      <c r="J283" s="41">
        <f>SUM(H283:I283)</f>
        <v>108</v>
      </c>
    </row>
    <row r="284" spans="3:10" s="77" customFormat="1" ht="11.25">
      <c r="C284" s="332" t="s">
        <v>185</v>
      </c>
      <c r="D284" s="332"/>
      <c r="E284" s="332"/>
      <c r="F284" s="332"/>
      <c r="G284" s="332"/>
      <c r="H284" s="41">
        <v>1206</v>
      </c>
      <c r="I284" s="41"/>
      <c r="J284" s="41">
        <f>SUM(H284:I284)</f>
        <v>1206</v>
      </c>
    </row>
    <row r="285" spans="3:10" s="77" customFormat="1" ht="11.25">
      <c r="C285" s="325" t="s">
        <v>28</v>
      </c>
      <c r="D285" s="325"/>
      <c r="E285" s="325"/>
      <c r="F285" s="325"/>
      <c r="G285" s="325"/>
      <c r="H285" s="25">
        <v>0</v>
      </c>
      <c r="I285" s="25">
        <v>147</v>
      </c>
      <c r="J285" s="25">
        <f>SUM(H285:I285)</f>
        <v>147</v>
      </c>
    </row>
    <row r="286" spans="3:10" s="26" customFormat="1" ht="11.25">
      <c r="C286" s="330" t="s">
        <v>8</v>
      </c>
      <c r="D286" s="330"/>
      <c r="E286" s="330"/>
      <c r="F286" s="330"/>
      <c r="G286" s="330"/>
      <c r="H286" s="23">
        <f>H287</f>
        <v>1314</v>
      </c>
      <c r="I286" s="23">
        <f>I287</f>
        <v>147</v>
      </c>
      <c r="J286" s="23">
        <f>J287</f>
        <v>1461</v>
      </c>
    </row>
    <row r="287" spans="3:10" s="26" customFormat="1" ht="11.25">
      <c r="C287" s="321" t="s">
        <v>9</v>
      </c>
      <c r="D287" s="321"/>
      <c r="E287" s="321"/>
      <c r="F287" s="321"/>
      <c r="G287" s="321"/>
      <c r="H287" s="25">
        <v>1314</v>
      </c>
      <c r="I287" s="25">
        <v>147</v>
      </c>
      <c r="J287" s="25">
        <f>SUM(H287:I287)</f>
        <v>1461</v>
      </c>
    </row>
    <row r="288" spans="4:10" ht="12.75">
      <c r="D288" s="297" t="s">
        <v>206</v>
      </c>
      <c r="E288" s="297"/>
      <c r="F288" s="297"/>
      <c r="G288" s="297"/>
      <c r="H288" s="41">
        <v>512</v>
      </c>
      <c r="I288" s="41"/>
      <c r="J288" s="41">
        <f>SUM(H288:I288)</f>
        <v>512</v>
      </c>
    </row>
    <row r="289" spans="3:10" s="26" customFormat="1" ht="11.25">
      <c r="C289" s="28"/>
      <c r="D289" s="28"/>
      <c r="E289" s="28"/>
      <c r="F289" s="28"/>
      <c r="G289" s="28"/>
      <c r="H289" s="25"/>
      <c r="I289" s="25"/>
      <c r="J289" s="25"/>
    </row>
    <row r="290" spans="2:10" s="26" customFormat="1" ht="36" customHeight="1">
      <c r="B290" s="98" t="s">
        <v>210</v>
      </c>
      <c r="C290" s="300" t="s">
        <v>449</v>
      </c>
      <c r="D290" s="300"/>
      <c r="E290" s="300"/>
      <c r="F290" s="300"/>
      <c r="G290" s="300"/>
      <c r="H290" s="25"/>
      <c r="I290" s="25"/>
      <c r="J290" s="25"/>
    </row>
    <row r="291" spans="3:10" s="26" customFormat="1" ht="11.25">
      <c r="C291" s="330" t="s">
        <v>4</v>
      </c>
      <c r="D291" s="330"/>
      <c r="E291" s="330"/>
      <c r="F291" s="330"/>
      <c r="G291" s="330"/>
      <c r="H291" s="23">
        <f>H292</f>
        <v>0</v>
      </c>
      <c r="I291" s="23">
        <f>I292</f>
        <v>19775</v>
      </c>
      <c r="J291" s="23">
        <f>J292</f>
        <v>19775</v>
      </c>
    </row>
    <row r="292" spans="3:10" s="26" customFormat="1" ht="11.25">
      <c r="C292" s="325" t="s">
        <v>192</v>
      </c>
      <c r="D292" s="325"/>
      <c r="E292" s="325"/>
      <c r="F292" s="325"/>
      <c r="G292" s="325"/>
      <c r="H292" s="25">
        <v>0</v>
      </c>
      <c r="I292" s="25">
        <v>19775</v>
      </c>
      <c r="J292" s="25">
        <f>SUM(H292:I292)</f>
        <v>19775</v>
      </c>
    </row>
    <row r="293" spans="3:10" s="26" customFormat="1" ht="11.25">
      <c r="C293" s="330" t="s">
        <v>8</v>
      </c>
      <c r="D293" s="330"/>
      <c r="E293" s="330"/>
      <c r="F293" s="330"/>
      <c r="G293" s="330"/>
      <c r="H293" s="23">
        <f>H294</f>
        <v>0</v>
      </c>
      <c r="I293" s="23">
        <f>I294</f>
        <v>19775</v>
      </c>
      <c r="J293" s="23">
        <f>J294</f>
        <v>19775</v>
      </c>
    </row>
    <row r="294" spans="3:10" s="26" customFormat="1" ht="11.25">
      <c r="C294" s="321" t="s">
        <v>9</v>
      </c>
      <c r="D294" s="321"/>
      <c r="E294" s="321"/>
      <c r="F294" s="321"/>
      <c r="G294" s="321"/>
      <c r="H294" s="25">
        <v>0</v>
      </c>
      <c r="I294" s="25">
        <v>19775</v>
      </c>
      <c r="J294" s="25">
        <f>SUM(H294:I294)</f>
        <v>19775</v>
      </c>
    </row>
    <row r="295" spans="4:10" ht="12.75">
      <c r="D295" s="297" t="s">
        <v>206</v>
      </c>
      <c r="E295" s="297"/>
      <c r="F295" s="297"/>
      <c r="G295" s="297"/>
      <c r="H295" s="41">
        <v>0</v>
      </c>
      <c r="I295" s="41">
        <v>4794</v>
      </c>
      <c r="J295" s="41">
        <f>SUM(H295:I295)</f>
        <v>4794</v>
      </c>
    </row>
    <row r="296" spans="3:10" s="26" customFormat="1" ht="11.25">
      <c r="C296" s="28"/>
      <c r="D296" s="28"/>
      <c r="E296" s="28"/>
      <c r="F296" s="28"/>
      <c r="G296" s="28"/>
      <c r="H296" s="25"/>
      <c r="I296" s="25"/>
      <c r="J296" s="25"/>
    </row>
    <row r="297" spans="2:10" s="26" customFormat="1" ht="49.5" customHeight="1">
      <c r="B297" s="98" t="s">
        <v>210</v>
      </c>
      <c r="C297" s="300" t="s">
        <v>450</v>
      </c>
      <c r="D297" s="300"/>
      <c r="E297" s="300"/>
      <c r="F297" s="300"/>
      <c r="G297" s="300"/>
      <c r="H297" s="25"/>
      <c r="I297" s="25"/>
      <c r="J297" s="25"/>
    </row>
    <row r="298" spans="3:10" s="26" customFormat="1" ht="11.25">
      <c r="C298" s="330" t="s">
        <v>4</v>
      </c>
      <c r="D298" s="330"/>
      <c r="E298" s="330"/>
      <c r="F298" s="330"/>
      <c r="G298" s="330"/>
      <c r="H298" s="23">
        <f>H299</f>
        <v>0</v>
      </c>
      <c r="I298" s="23">
        <f>I299</f>
        <v>5000</v>
      </c>
      <c r="J298" s="23">
        <f>J299</f>
        <v>5000</v>
      </c>
    </row>
    <row r="299" spans="3:10" s="26" customFormat="1" ht="11.25">
      <c r="C299" s="325" t="s">
        <v>195</v>
      </c>
      <c r="D299" s="325"/>
      <c r="E299" s="325"/>
      <c r="F299" s="325"/>
      <c r="G299" s="325"/>
      <c r="H299" s="25">
        <v>0</v>
      </c>
      <c r="I299" s="25">
        <v>5000</v>
      </c>
      <c r="J299" s="25">
        <f>SUM(H299:I299)</f>
        <v>5000</v>
      </c>
    </row>
    <row r="300" spans="3:10" s="26" customFormat="1" ht="11.25">
      <c r="C300" s="330" t="s">
        <v>8</v>
      </c>
      <c r="D300" s="330"/>
      <c r="E300" s="330"/>
      <c r="F300" s="330"/>
      <c r="G300" s="330"/>
      <c r="H300" s="23">
        <f>H301</f>
        <v>0</v>
      </c>
      <c r="I300" s="23">
        <f>I301</f>
        <v>5000</v>
      </c>
      <c r="J300" s="23">
        <f>J301</f>
        <v>5000</v>
      </c>
    </row>
    <row r="301" spans="3:10" s="26" customFormat="1" ht="11.25">
      <c r="C301" s="321" t="s">
        <v>9</v>
      </c>
      <c r="D301" s="321"/>
      <c r="E301" s="321"/>
      <c r="F301" s="321"/>
      <c r="G301" s="321"/>
      <c r="H301" s="25">
        <v>0</v>
      </c>
      <c r="I301" s="25">
        <v>5000</v>
      </c>
      <c r="J301" s="25">
        <f>SUM(H301:I301)</f>
        <v>5000</v>
      </c>
    </row>
    <row r="302" spans="3:10" s="26" customFormat="1" ht="11.25">
      <c r="C302" s="28"/>
      <c r="D302" s="28"/>
      <c r="E302" s="28"/>
      <c r="F302" s="28"/>
      <c r="G302" s="28"/>
      <c r="H302" s="25"/>
      <c r="I302" s="25"/>
      <c r="J302" s="25"/>
    </row>
    <row r="304" spans="2:10" s="47" customFormat="1" ht="20.25" customHeight="1">
      <c r="B304" s="48" t="s">
        <v>40</v>
      </c>
      <c r="C304" s="310" t="s">
        <v>142</v>
      </c>
      <c r="D304" s="310"/>
      <c r="E304" s="310"/>
      <c r="F304" s="310"/>
      <c r="G304" s="310"/>
      <c r="H304" s="49">
        <f>H307+H335+H341+H329</f>
        <v>1664373</v>
      </c>
      <c r="I304" s="49">
        <f>I307+I335+I341+I329</f>
        <v>0</v>
      </c>
      <c r="J304" s="49">
        <f>J307+J335+J341+J329</f>
        <v>1664373</v>
      </c>
    </row>
    <row r="305" spans="3:10" s="35" customFormat="1" ht="11.25" customHeight="1">
      <c r="C305" s="36"/>
      <c r="D305" s="36"/>
      <c r="E305" s="36"/>
      <c r="F305" s="36"/>
      <c r="G305" s="36"/>
      <c r="H305" s="37"/>
      <c r="I305" s="37"/>
      <c r="J305" s="37"/>
    </row>
    <row r="306" spans="2:10" s="17" customFormat="1" ht="12">
      <c r="B306" s="18" t="s">
        <v>40</v>
      </c>
      <c r="C306" s="340" t="s">
        <v>61</v>
      </c>
      <c r="D306" s="340"/>
      <c r="E306" s="340"/>
      <c r="F306" s="340"/>
      <c r="G306" s="340"/>
      <c r="H306" s="19"/>
      <c r="I306" s="19"/>
      <c r="J306" s="19"/>
    </row>
    <row r="307" spans="2:10" s="20" customFormat="1" ht="10.5">
      <c r="B307" s="21"/>
      <c r="C307" s="330" t="s">
        <v>4</v>
      </c>
      <c r="D307" s="330"/>
      <c r="E307" s="330"/>
      <c r="F307" s="330"/>
      <c r="G307" s="330"/>
      <c r="H307" s="23">
        <f>H308</f>
        <v>1566004</v>
      </c>
      <c r="I307" s="23">
        <f>I308</f>
        <v>-78600</v>
      </c>
      <c r="J307" s="23">
        <f>J308</f>
        <v>1487404</v>
      </c>
    </row>
    <row r="308" spans="2:10" s="26" customFormat="1" ht="11.25">
      <c r="B308" s="27"/>
      <c r="C308" s="325" t="s">
        <v>6</v>
      </c>
      <c r="D308" s="325"/>
      <c r="E308" s="325"/>
      <c r="F308" s="325"/>
      <c r="G308" s="325"/>
      <c r="H308" s="25">
        <f>SUM(H317+H323)</f>
        <v>1566004</v>
      </c>
      <c r="I308" s="25">
        <f>SUM(I317+I323)</f>
        <v>-78600</v>
      </c>
      <c r="J308" s="25">
        <f>SUM(J317+J323)</f>
        <v>1487404</v>
      </c>
    </row>
    <row r="309" spans="2:10" s="20" customFormat="1" ht="10.5">
      <c r="B309" s="21"/>
      <c r="C309" s="330" t="s">
        <v>8</v>
      </c>
      <c r="D309" s="330"/>
      <c r="E309" s="330"/>
      <c r="F309" s="330"/>
      <c r="G309" s="330"/>
      <c r="H309" s="23">
        <f>H310+H311</f>
        <v>1566004</v>
      </c>
      <c r="I309" s="23">
        <f>I310+I311</f>
        <v>-78600</v>
      </c>
      <c r="J309" s="23">
        <f>J310+J311</f>
        <v>1487404</v>
      </c>
    </row>
    <row r="310" spans="3:10" s="26" customFormat="1" ht="11.25">
      <c r="C310" s="321" t="s">
        <v>11</v>
      </c>
      <c r="D310" s="321"/>
      <c r="E310" s="321"/>
      <c r="F310" s="321"/>
      <c r="G310" s="321"/>
      <c r="H310" s="25">
        <f>SUM(H319+H325)</f>
        <v>1463104</v>
      </c>
      <c r="I310" s="25">
        <f>SUM(I319+I325)</f>
        <v>-78600</v>
      </c>
      <c r="J310" s="25">
        <f>SUM(J319+J325)</f>
        <v>1384504</v>
      </c>
    </row>
    <row r="311" spans="3:10" s="26" customFormat="1" ht="11.25">
      <c r="C311" s="321" t="s">
        <v>124</v>
      </c>
      <c r="D311" s="321"/>
      <c r="E311" s="321"/>
      <c r="F311" s="321"/>
      <c r="G311" s="321"/>
      <c r="H311" s="25">
        <f>H326+H339</f>
        <v>102900</v>
      </c>
      <c r="I311" s="25">
        <f>I326+I339</f>
        <v>0</v>
      </c>
      <c r="J311" s="25">
        <f>J326+J339</f>
        <v>102900</v>
      </c>
    </row>
    <row r="312" spans="3:10" s="26" customFormat="1" ht="12.75" customHeight="1">
      <c r="C312" s="28"/>
      <c r="D312" s="28"/>
      <c r="E312" s="28"/>
      <c r="F312" s="28"/>
      <c r="G312" s="28"/>
      <c r="H312" s="25"/>
      <c r="I312" s="25"/>
      <c r="J312" s="25"/>
    </row>
    <row r="313" spans="2:10" s="6" customFormat="1" ht="50.25" customHeight="1">
      <c r="B313" s="7" t="s">
        <v>1</v>
      </c>
      <c r="C313" s="327" t="s">
        <v>2</v>
      </c>
      <c r="D313" s="327"/>
      <c r="E313" s="327"/>
      <c r="F313" s="327"/>
      <c r="G313" s="327"/>
      <c r="H313" s="8" t="s">
        <v>442</v>
      </c>
      <c r="I313" s="8" t="s">
        <v>440</v>
      </c>
      <c r="J313" s="8" t="s">
        <v>441</v>
      </c>
    </row>
    <row r="314" spans="3:10" s="26" customFormat="1" ht="12.75" customHeight="1">
      <c r="C314" s="28"/>
      <c r="D314" s="28"/>
      <c r="E314" s="28"/>
      <c r="F314" s="28"/>
      <c r="G314" s="28"/>
      <c r="H314" s="25"/>
      <c r="I314" s="25"/>
      <c r="J314" s="25"/>
    </row>
    <row r="315" spans="2:10" s="26" customFormat="1" ht="12.75" customHeight="1">
      <c r="B315" s="27" t="s">
        <v>143</v>
      </c>
      <c r="C315" s="321" t="s">
        <v>62</v>
      </c>
      <c r="D315" s="321"/>
      <c r="E315" s="321"/>
      <c r="F315" s="321"/>
      <c r="G315" s="321"/>
      <c r="H315" s="25"/>
      <c r="I315" s="25"/>
      <c r="J315" s="25"/>
    </row>
    <row r="316" spans="2:10" s="20" customFormat="1" ht="10.5">
      <c r="B316" s="21"/>
      <c r="C316" s="330" t="s">
        <v>4</v>
      </c>
      <c r="D316" s="330"/>
      <c r="E316" s="330"/>
      <c r="F316" s="330"/>
      <c r="G316" s="330"/>
      <c r="H316" s="23">
        <f>H317</f>
        <v>1252294</v>
      </c>
      <c r="I316" s="23">
        <f>I317</f>
        <v>-78600</v>
      </c>
      <c r="J316" s="23">
        <f>J317</f>
        <v>1173694</v>
      </c>
    </row>
    <row r="317" spans="2:10" s="26" customFormat="1" ht="11.25">
      <c r="B317" s="27"/>
      <c r="C317" s="325" t="s">
        <v>6</v>
      </c>
      <c r="D317" s="325"/>
      <c r="E317" s="325"/>
      <c r="F317" s="325"/>
      <c r="G317" s="325"/>
      <c r="H317" s="25">
        <v>1252294</v>
      </c>
      <c r="I317" s="25">
        <v>-78600</v>
      </c>
      <c r="J317" s="25">
        <f>SUM(H317:I317)</f>
        <v>1173694</v>
      </c>
    </row>
    <row r="318" spans="2:10" s="20" customFormat="1" ht="10.5">
      <c r="B318" s="21"/>
      <c r="C318" s="330" t="s">
        <v>8</v>
      </c>
      <c r="D318" s="330"/>
      <c r="E318" s="330"/>
      <c r="F318" s="330"/>
      <c r="G318" s="330"/>
      <c r="H318" s="23">
        <f>H319</f>
        <v>1252294</v>
      </c>
      <c r="I318" s="23">
        <f>I319</f>
        <v>-78600</v>
      </c>
      <c r="J318" s="23">
        <f>J319</f>
        <v>1173694</v>
      </c>
    </row>
    <row r="319" spans="3:10" s="26" customFormat="1" ht="12.75" customHeight="1">
      <c r="C319" s="321" t="s">
        <v>11</v>
      </c>
      <c r="D319" s="321"/>
      <c r="E319" s="321"/>
      <c r="F319" s="321"/>
      <c r="G319" s="321"/>
      <c r="H319" s="25">
        <v>1252294</v>
      </c>
      <c r="I319" s="25">
        <v>-78600</v>
      </c>
      <c r="J319" s="25">
        <f>SUM(H319:I319)</f>
        <v>1173694</v>
      </c>
    </row>
    <row r="320" spans="3:10" s="26" customFormat="1" ht="11.25" customHeight="1">
      <c r="C320" s="28"/>
      <c r="D320" s="28"/>
      <c r="E320" s="28"/>
      <c r="F320" s="28"/>
      <c r="G320" s="28"/>
      <c r="H320" s="25"/>
      <c r="I320" s="25"/>
      <c r="J320" s="25"/>
    </row>
    <row r="321" spans="2:10" s="26" customFormat="1" ht="12.75" customHeight="1">
      <c r="B321" s="27" t="s">
        <v>144</v>
      </c>
      <c r="C321" s="321" t="s">
        <v>145</v>
      </c>
      <c r="D321" s="321"/>
      <c r="E321" s="321"/>
      <c r="F321" s="321"/>
      <c r="G321" s="321"/>
      <c r="H321" s="25"/>
      <c r="I321" s="25"/>
      <c r="J321" s="25"/>
    </row>
    <row r="322" spans="2:10" s="20" customFormat="1" ht="10.5">
      <c r="B322" s="21"/>
      <c r="C322" s="330" t="s">
        <v>4</v>
      </c>
      <c r="D322" s="330"/>
      <c r="E322" s="330"/>
      <c r="F322" s="330"/>
      <c r="G322" s="330"/>
      <c r="H322" s="23">
        <f>H323</f>
        <v>313710</v>
      </c>
      <c r="I322" s="23">
        <f>I323</f>
        <v>0</v>
      </c>
      <c r="J322" s="23">
        <f>J323</f>
        <v>313710</v>
      </c>
    </row>
    <row r="323" spans="2:10" s="26" customFormat="1" ht="11.25">
      <c r="B323" s="27"/>
      <c r="C323" s="325" t="s">
        <v>6</v>
      </c>
      <c r="D323" s="325"/>
      <c r="E323" s="325"/>
      <c r="F323" s="325"/>
      <c r="G323" s="325"/>
      <c r="H323" s="25">
        <v>313710</v>
      </c>
      <c r="I323" s="25"/>
      <c r="J323" s="25">
        <f>SUM(H323:I323)</f>
        <v>313710</v>
      </c>
    </row>
    <row r="324" spans="2:10" s="20" customFormat="1" ht="10.5">
      <c r="B324" s="21"/>
      <c r="C324" s="330" t="s">
        <v>8</v>
      </c>
      <c r="D324" s="330"/>
      <c r="E324" s="330"/>
      <c r="F324" s="330"/>
      <c r="G324" s="330"/>
      <c r="H324" s="23">
        <f>H325+H326</f>
        <v>313710</v>
      </c>
      <c r="I324" s="23">
        <f>I325+I326</f>
        <v>0</v>
      </c>
      <c r="J324" s="23">
        <f>J325+J326</f>
        <v>313710</v>
      </c>
    </row>
    <row r="325" spans="3:10" s="26" customFormat="1" ht="10.5" customHeight="1">
      <c r="C325" s="321" t="s">
        <v>11</v>
      </c>
      <c r="D325" s="321"/>
      <c r="E325" s="321"/>
      <c r="F325" s="321"/>
      <c r="G325" s="321"/>
      <c r="H325" s="25">
        <v>210810</v>
      </c>
      <c r="I325" s="25"/>
      <c r="J325" s="25">
        <f>SUM(H325:I325)</f>
        <v>210810</v>
      </c>
    </row>
    <row r="326" spans="3:10" s="26" customFormat="1" ht="10.5" customHeight="1">
      <c r="C326" s="321" t="s">
        <v>124</v>
      </c>
      <c r="D326" s="321"/>
      <c r="E326" s="321"/>
      <c r="F326" s="321"/>
      <c r="G326" s="321"/>
      <c r="H326" s="25">
        <v>102900</v>
      </c>
      <c r="I326" s="25"/>
      <c r="J326" s="25">
        <f>SUM(H326:I326)</f>
        <v>102900</v>
      </c>
    </row>
    <row r="327" spans="3:10" s="35" customFormat="1" ht="11.25" customHeight="1">
      <c r="C327" s="36"/>
      <c r="D327" s="36"/>
      <c r="E327" s="36"/>
      <c r="F327" s="36"/>
      <c r="G327" s="36"/>
      <c r="H327" s="37"/>
      <c r="I327" s="37"/>
      <c r="J327" s="37"/>
    </row>
    <row r="328" spans="2:10" s="26" customFormat="1" ht="12.75" customHeight="1">
      <c r="B328" s="18" t="s">
        <v>143</v>
      </c>
      <c r="C328" s="340" t="s">
        <v>461</v>
      </c>
      <c r="D328" s="340"/>
      <c r="E328" s="340"/>
      <c r="F328" s="340"/>
      <c r="G328" s="340"/>
      <c r="H328" s="19"/>
      <c r="I328" s="19"/>
      <c r="J328" s="19"/>
    </row>
    <row r="329" spans="2:10" s="26" customFormat="1" ht="12.75" customHeight="1">
      <c r="B329" s="21"/>
      <c r="C329" s="330" t="s">
        <v>4</v>
      </c>
      <c r="D329" s="330"/>
      <c r="E329" s="330"/>
      <c r="F329" s="330"/>
      <c r="G329" s="330"/>
      <c r="H329" s="23">
        <f>H330</f>
        <v>0</v>
      </c>
      <c r="I329" s="23">
        <f>I330</f>
        <v>78600</v>
      </c>
      <c r="J329" s="23">
        <f>J330</f>
        <v>78600</v>
      </c>
    </row>
    <row r="330" spans="2:10" s="26" customFormat="1" ht="12.75" customHeight="1">
      <c r="B330" s="27"/>
      <c r="C330" s="325" t="s">
        <v>6</v>
      </c>
      <c r="D330" s="325"/>
      <c r="E330" s="325"/>
      <c r="F330" s="325"/>
      <c r="G330" s="325"/>
      <c r="H330" s="25">
        <v>0</v>
      </c>
      <c r="I330" s="25">
        <v>78600</v>
      </c>
      <c r="J330" s="25">
        <f>SUM(H330:I330)</f>
        <v>78600</v>
      </c>
    </row>
    <row r="331" spans="2:10" s="26" customFormat="1" ht="12.75" customHeight="1">
      <c r="B331" s="21"/>
      <c r="C331" s="330" t="s">
        <v>8</v>
      </c>
      <c r="D331" s="330"/>
      <c r="E331" s="330"/>
      <c r="F331" s="330"/>
      <c r="G331" s="330"/>
      <c r="H331" s="23">
        <f>H332</f>
        <v>0</v>
      </c>
      <c r="I331" s="23">
        <f>I332</f>
        <v>78600</v>
      </c>
      <c r="J331" s="23">
        <f>J332</f>
        <v>78600</v>
      </c>
    </row>
    <row r="332" spans="3:10" s="26" customFormat="1" ht="12.75" customHeight="1">
      <c r="C332" s="321" t="s">
        <v>11</v>
      </c>
      <c r="D332" s="321"/>
      <c r="E332" s="321"/>
      <c r="F332" s="321"/>
      <c r="G332" s="321"/>
      <c r="H332" s="25">
        <v>0</v>
      </c>
      <c r="I332" s="25">
        <v>78600</v>
      </c>
      <c r="J332" s="25">
        <f>SUM(H332:I332)</f>
        <v>78600</v>
      </c>
    </row>
    <row r="333" spans="3:10" s="35" customFormat="1" ht="11.25" customHeight="1">
      <c r="C333" s="36"/>
      <c r="D333" s="36"/>
      <c r="E333" s="36"/>
      <c r="F333" s="36"/>
      <c r="G333" s="36"/>
      <c r="H333" s="37"/>
      <c r="I333" s="37"/>
      <c r="J333" s="37"/>
    </row>
    <row r="334" spans="2:10" s="26" customFormat="1" ht="12.75" customHeight="1">
      <c r="B334" s="18" t="s">
        <v>143</v>
      </c>
      <c r="C334" s="340" t="s">
        <v>66</v>
      </c>
      <c r="D334" s="340"/>
      <c r="E334" s="340"/>
      <c r="F334" s="340"/>
      <c r="G334" s="340"/>
      <c r="H334" s="19"/>
      <c r="I334" s="19"/>
      <c r="J334" s="19"/>
    </row>
    <row r="335" spans="2:10" s="26" customFormat="1" ht="12.75" customHeight="1">
      <c r="B335" s="21"/>
      <c r="C335" s="330" t="s">
        <v>4</v>
      </c>
      <c r="D335" s="330"/>
      <c r="E335" s="330"/>
      <c r="F335" s="330"/>
      <c r="G335" s="330"/>
      <c r="H335" s="23">
        <f>H336</f>
        <v>80730</v>
      </c>
      <c r="I335" s="23">
        <f>I336</f>
        <v>0</v>
      </c>
      <c r="J335" s="23">
        <f>J336</f>
        <v>80730</v>
      </c>
    </row>
    <row r="336" spans="2:10" s="26" customFormat="1" ht="12.75" customHeight="1">
      <c r="B336" s="27"/>
      <c r="C336" s="325" t="s">
        <v>6</v>
      </c>
      <c r="D336" s="325"/>
      <c r="E336" s="325"/>
      <c r="F336" s="325"/>
      <c r="G336" s="325"/>
      <c r="H336" s="25">
        <v>80730</v>
      </c>
      <c r="I336" s="25"/>
      <c r="J336" s="25">
        <f>SUM(H336:I336)</f>
        <v>80730</v>
      </c>
    </row>
    <row r="337" spans="2:10" s="26" customFormat="1" ht="12.75" customHeight="1">
      <c r="B337" s="21"/>
      <c r="C337" s="330" t="s">
        <v>8</v>
      </c>
      <c r="D337" s="330"/>
      <c r="E337" s="330"/>
      <c r="F337" s="330"/>
      <c r="G337" s="330"/>
      <c r="H337" s="23">
        <f>H338</f>
        <v>80730</v>
      </c>
      <c r="I337" s="23">
        <f>I338</f>
        <v>0</v>
      </c>
      <c r="J337" s="23">
        <f>J338</f>
        <v>80730</v>
      </c>
    </row>
    <row r="338" spans="3:10" s="26" customFormat="1" ht="12.75" customHeight="1">
      <c r="C338" s="321" t="s">
        <v>124</v>
      </c>
      <c r="D338" s="321"/>
      <c r="E338" s="321"/>
      <c r="F338" s="321"/>
      <c r="G338" s="321"/>
      <c r="H338" s="25">
        <v>80730</v>
      </c>
      <c r="I338" s="25"/>
      <c r="J338" s="25">
        <f>SUM(H338:I338)</f>
        <v>80730</v>
      </c>
    </row>
    <row r="339" spans="3:10" s="35" customFormat="1" ht="11.25" customHeight="1">
      <c r="C339" s="36"/>
      <c r="D339" s="36"/>
      <c r="E339" s="36"/>
      <c r="F339" s="36"/>
      <c r="G339" s="36"/>
      <c r="H339" s="37"/>
      <c r="I339" s="37"/>
      <c r="J339" s="37"/>
    </row>
    <row r="340" spans="2:10" s="106" customFormat="1" ht="24" customHeight="1">
      <c r="B340" s="104" t="s">
        <v>144</v>
      </c>
      <c r="C340" s="300" t="s">
        <v>217</v>
      </c>
      <c r="D340" s="300"/>
      <c r="E340" s="300"/>
      <c r="F340" s="300"/>
      <c r="G340" s="300"/>
      <c r="H340" s="105"/>
      <c r="I340" s="105"/>
      <c r="J340" s="105"/>
    </row>
    <row r="341" spans="2:10" s="26" customFormat="1" ht="12.75" customHeight="1">
      <c r="B341" s="21"/>
      <c r="C341" s="330" t="s">
        <v>4</v>
      </c>
      <c r="D341" s="330"/>
      <c r="E341" s="330"/>
      <c r="F341" s="330"/>
      <c r="G341" s="330"/>
      <c r="H341" s="23">
        <f>H342</f>
        <v>17639</v>
      </c>
      <c r="I341" s="23">
        <f>I342</f>
        <v>0</v>
      </c>
      <c r="J341" s="23">
        <f>J342</f>
        <v>17639</v>
      </c>
    </row>
    <row r="342" spans="2:10" s="26" customFormat="1" ht="12.75" customHeight="1">
      <c r="B342" s="21"/>
      <c r="C342" s="24" t="s">
        <v>178</v>
      </c>
      <c r="D342" s="24"/>
      <c r="E342" s="24"/>
      <c r="F342" s="24"/>
      <c r="G342" s="24"/>
      <c r="H342" s="25">
        <v>17639</v>
      </c>
      <c r="I342" s="25"/>
      <c r="J342" s="25">
        <f>SUM(H342:I342)</f>
        <v>17639</v>
      </c>
    </row>
    <row r="343" spans="2:10" s="26" customFormat="1" ht="12.75" customHeight="1">
      <c r="B343" s="21"/>
      <c r="C343" s="330" t="s">
        <v>8</v>
      </c>
      <c r="D343" s="330"/>
      <c r="E343" s="330"/>
      <c r="F343" s="330"/>
      <c r="G343" s="330"/>
      <c r="H343" s="23">
        <f>H344</f>
        <v>17639</v>
      </c>
      <c r="I343" s="23">
        <f>I344</f>
        <v>0</v>
      </c>
      <c r="J343" s="23">
        <f>J344</f>
        <v>17639</v>
      </c>
    </row>
    <row r="344" spans="3:10" s="82" customFormat="1" ht="11.25" customHeight="1">
      <c r="C344" s="80" t="s">
        <v>124</v>
      </c>
      <c r="D344" s="80"/>
      <c r="E344" s="80"/>
      <c r="F344" s="80"/>
      <c r="G344" s="80"/>
      <c r="H344" s="83">
        <v>17639</v>
      </c>
      <c r="I344" s="83"/>
      <c r="J344" s="25">
        <f>SUM(H344:I344)</f>
        <v>17639</v>
      </c>
    </row>
    <row r="345" spans="3:10" s="82" customFormat="1" ht="11.25" customHeight="1">
      <c r="C345" s="80"/>
      <c r="D345" s="80"/>
      <c r="E345" s="80"/>
      <c r="F345" s="80"/>
      <c r="G345" s="80"/>
      <c r="H345" s="83"/>
      <c r="I345" s="83"/>
      <c r="J345" s="83"/>
    </row>
    <row r="346" spans="3:10" s="82" customFormat="1" ht="11.25" customHeight="1">
      <c r="C346" s="80"/>
      <c r="D346" s="80"/>
      <c r="E346" s="80"/>
      <c r="F346" s="80"/>
      <c r="G346" s="80"/>
      <c r="H346" s="83"/>
      <c r="I346" s="83"/>
      <c r="J346" s="83"/>
    </row>
    <row r="347" spans="2:10" s="47" customFormat="1" ht="12">
      <c r="B347" s="48" t="s">
        <v>45</v>
      </c>
      <c r="C347" s="310" t="s">
        <v>146</v>
      </c>
      <c r="D347" s="310"/>
      <c r="E347" s="310"/>
      <c r="F347" s="310"/>
      <c r="G347" s="310"/>
      <c r="H347" s="49">
        <f>H350+H371+H380+H392+H398+H386</f>
        <v>2416746</v>
      </c>
      <c r="I347" s="49">
        <f>I350+I371+I380+I392+I398+I386</f>
        <v>240161</v>
      </c>
      <c r="J347" s="49">
        <f>J350+J371+J380+J392+J398+J386</f>
        <v>2656907</v>
      </c>
    </row>
    <row r="348" spans="3:10" s="35" customFormat="1" ht="10.5" customHeight="1">
      <c r="C348" s="36"/>
      <c r="D348" s="36"/>
      <c r="E348" s="36"/>
      <c r="F348" s="36"/>
      <c r="G348" s="36"/>
      <c r="H348" s="37"/>
      <c r="I348" s="37"/>
      <c r="J348" s="37"/>
    </row>
    <row r="349" spans="2:10" s="17" customFormat="1" ht="12">
      <c r="B349" s="18" t="s">
        <v>45</v>
      </c>
      <c r="C349" s="340" t="s">
        <v>61</v>
      </c>
      <c r="D349" s="340"/>
      <c r="E349" s="340"/>
      <c r="F349" s="340"/>
      <c r="G349" s="340"/>
      <c r="H349" s="19"/>
      <c r="I349" s="19"/>
      <c r="J349" s="19"/>
    </row>
    <row r="350" spans="2:10" s="20" customFormat="1" ht="10.5">
      <c r="B350" s="21"/>
      <c r="C350" s="330" t="s">
        <v>4</v>
      </c>
      <c r="D350" s="330"/>
      <c r="E350" s="330"/>
      <c r="F350" s="330"/>
      <c r="G350" s="330"/>
      <c r="H350" s="23">
        <f>H351</f>
        <v>2106692</v>
      </c>
      <c r="I350" s="23">
        <f>I351</f>
        <v>0</v>
      </c>
      <c r="J350" s="23">
        <f>J351</f>
        <v>2106692</v>
      </c>
    </row>
    <row r="351" spans="2:10" s="26" customFormat="1" ht="11.25">
      <c r="B351" s="27"/>
      <c r="C351" s="325" t="s">
        <v>6</v>
      </c>
      <c r="D351" s="325"/>
      <c r="E351" s="325"/>
      <c r="F351" s="325"/>
      <c r="G351" s="325"/>
      <c r="H351" s="25">
        <f>H358+H365</f>
        <v>2106692</v>
      </c>
      <c r="I351" s="25">
        <f>I358+I365</f>
        <v>0</v>
      </c>
      <c r="J351" s="25">
        <f>J358+J365</f>
        <v>2106692</v>
      </c>
    </row>
    <row r="352" spans="2:10" s="20" customFormat="1" ht="10.5">
      <c r="B352" s="21"/>
      <c r="C352" s="330" t="s">
        <v>8</v>
      </c>
      <c r="D352" s="330"/>
      <c r="E352" s="330"/>
      <c r="F352" s="330"/>
      <c r="G352" s="330"/>
      <c r="H352" s="23">
        <f>H353+H354</f>
        <v>2106692</v>
      </c>
      <c r="I352" s="23">
        <f>I353+I354</f>
        <v>0</v>
      </c>
      <c r="J352" s="23">
        <f>J353+J354</f>
        <v>2106692</v>
      </c>
    </row>
    <row r="353" spans="3:10" s="26" customFormat="1" ht="11.25">
      <c r="C353" s="321" t="s">
        <v>11</v>
      </c>
      <c r="D353" s="321"/>
      <c r="E353" s="321"/>
      <c r="F353" s="321"/>
      <c r="G353" s="321"/>
      <c r="H353" s="25">
        <f aca="true" t="shared" si="1" ref="H353:J354">H360+H367</f>
        <v>1184204</v>
      </c>
      <c r="I353" s="25">
        <f t="shared" si="1"/>
        <v>0</v>
      </c>
      <c r="J353" s="25">
        <f t="shared" si="1"/>
        <v>1184204</v>
      </c>
    </row>
    <row r="354" spans="3:10" s="26" customFormat="1" ht="11.25">
      <c r="C354" s="321" t="s">
        <v>124</v>
      </c>
      <c r="D354" s="321"/>
      <c r="E354" s="321"/>
      <c r="F354" s="321"/>
      <c r="G354" s="321"/>
      <c r="H354" s="25">
        <f t="shared" si="1"/>
        <v>922488</v>
      </c>
      <c r="I354" s="25">
        <f t="shared" si="1"/>
        <v>0</v>
      </c>
      <c r="J354" s="25">
        <f t="shared" si="1"/>
        <v>922488</v>
      </c>
    </row>
    <row r="355" spans="3:10" s="26" customFormat="1" ht="8.25" customHeight="1">
      <c r="C355" s="28"/>
      <c r="D355" s="28"/>
      <c r="E355" s="28"/>
      <c r="F355" s="28"/>
      <c r="G355" s="28"/>
      <c r="H355" s="25"/>
      <c r="I355" s="25"/>
      <c r="J355" s="25"/>
    </row>
    <row r="356" spans="2:10" s="26" customFormat="1" ht="12.75" customHeight="1">
      <c r="B356" s="27" t="s">
        <v>148</v>
      </c>
      <c r="C356" s="321" t="s">
        <v>63</v>
      </c>
      <c r="D356" s="321"/>
      <c r="E356" s="321"/>
      <c r="F356" s="321"/>
      <c r="G356" s="321"/>
      <c r="H356" s="25"/>
      <c r="I356" s="25"/>
      <c r="J356" s="25"/>
    </row>
    <row r="357" spans="2:10" s="20" customFormat="1" ht="10.5">
      <c r="B357" s="21"/>
      <c r="C357" s="330" t="s">
        <v>4</v>
      </c>
      <c r="D357" s="330"/>
      <c r="E357" s="330"/>
      <c r="F357" s="330"/>
      <c r="G357" s="330"/>
      <c r="H357" s="23">
        <f>H358</f>
        <v>782146</v>
      </c>
      <c r="I357" s="23">
        <f>I358</f>
        <v>0</v>
      </c>
      <c r="J357" s="23">
        <f>J358</f>
        <v>782146</v>
      </c>
    </row>
    <row r="358" spans="2:10" s="26" customFormat="1" ht="11.25">
      <c r="B358" s="27"/>
      <c r="C358" s="325" t="s">
        <v>6</v>
      </c>
      <c r="D358" s="325"/>
      <c r="E358" s="325"/>
      <c r="F358" s="325"/>
      <c r="G358" s="325"/>
      <c r="H358" s="25">
        <v>782146</v>
      </c>
      <c r="I358" s="25"/>
      <c r="J358" s="25">
        <f>SUM(H358:I358)</f>
        <v>782146</v>
      </c>
    </row>
    <row r="359" spans="2:10" s="20" customFormat="1" ht="10.5">
      <c r="B359" s="21"/>
      <c r="C359" s="330" t="s">
        <v>8</v>
      </c>
      <c r="D359" s="330"/>
      <c r="E359" s="330"/>
      <c r="F359" s="330"/>
      <c r="G359" s="330"/>
      <c r="H359" s="23">
        <f>H360+H361</f>
        <v>782146</v>
      </c>
      <c r="I359" s="23">
        <f>I360+I361</f>
        <v>0</v>
      </c>
      <c r="J359" s="23">
        <f>J360+J361</f>
        <v>782146</v>
      </c>
    </row>
    <row r="360" spans="3:10" s="26" customFormat="1" ht="12.75" customHeight="1">
      <c r="C360" s="321" t="s">
        <v>11</v>
      </c>
      <c r="D360" s="321"/>
      <c r="E360" s="321"/>
      <c r="F360" s="321"/>
      <c r="G360" s="321"/>
      <c r="H360" s="25">
        <v>455854</v>
      </c>
      <c r="I360" s="25"/>
      <c r="J360" s="25">
        <f>SUM(H360:I360)</f>
        <v>455854</v>
      </c>
    </row>
    <row r="361" spans="3:10" s="26" customFormat="1" ht="11.25">
      <c r="C361" s="321" t="s">
        <v>124</v>
      </c>
      <c r="D361" s="321"/>
      <c r="E361" s="321"/>
      <c r="F361" s="321"/>
      <c r="G361" s="321"/>
      <c r="H361" s="25">
        <v>326292</v>
      </c>
      <c r="I361" s="25"/>
      <c r="J361" s="25">
        <f>SUM(H361:I361)</f>
        <v>326292</v>
      </c>
    </row>
    <row r="362" spans="3:10" s="26" customFormat="1" ht="12.75" customHeight="1">
      <c r="C362" s="28"/>
      <c r="D362" s="28"/>
      <c r="E362" s="28"/>
      <c r="F362" s="28"/>
      <c r="G362" s="28"/>
      <c r="H362" s="25"/>
      <c r="I362" s="25"/>
      <c r="J362" s="25"/>
    </row>
    <row r="363" spans="2:10" s="33" customFormat="1" ht="26.25" customHeight="1">
      <c r="B363" s="51" t="s">
        <v>147</v>
      </c>
      <c r="C363" s="302" t="s">
        <v>149</v>
      </c>
      <c r="D363" s="302"/>
      <c r="E363" s="302"/>
      <c r="F363" s="302"/>
      <c r="G363" s="302"/>
      <c r="H363" s="52"/>
      <c r="I363" s="52"/>
      <c r="J363" s="52"/>
    </row>
    <row r="364" spans="2:10" s="20" customFormat="1" ht="10.5">
      <c r="B364" s="21"/>
      <c r="C364" s="330" t="s">
        <v>4</v>
      </c>
      <c r="D364" s="330"/>
      <c r="E364" s="330"/>
      <c r="F364" s="330"/>
      <c r="G364" s="330"/>
      <c r="H364" s="23">
        <f>H365</f>
        <v>1324546</v>
      </c>
      <c r="I364" s="23">
        <f>I365</f>
        <v>0</v>
      </c>
      <c r="J364" s="23">
        <f>J365</f>
        <v>1324546</v>
      </c>
    </row>
    <row r="365" spans="2:10" s="26" customFormat="1" ht="11.25">
      <c r="B365" s="27"/>
      <c r="C365" s="325" t="s">
        <v>6</v>
      </c>
      <c r="D365" s="325"/>
      <c r="E365" s="325"/>
      <c r="F365" s="325"/>
      <c r="G365" s="325"/>
      <c r="H365" s="25">
        <v>1324546</v>
      </c>
      <c r="I365" s="25"/>
      <c r="J365" s="25">
        <f>SUM(H365:I365)</f>
        <v>1324546</v>
      </c>
    </row>
    <row r="366" spans="2:10" s="20" customFormat="1" ht="10.5">
      <c r="B366" s="21"/>
      <c r="C366" s="330" t="s">
        <v>8</v>
      </c>
      <c r="D366" s="330"/>
      <c r="E366" s="330"/>
      <c r="F366" s="330"/>
      <c r="G366" s="330"/>
      <c r="H366" s="23">
        <f>H367+H368</f>
        <v>1324546</v>
      </c>
      <c r="I366" s="23">
        <f>I367+I368</f>
        <v>0</v>
      </c>
      <c r="J366" s="23">
        <f>J367+J368</f>
        <v>1324546</v>
      </c>
    </row>
    <row r="367" spans="3:10" s="26" customFormat="1" ht="10.5" customHeight="1">
      <c r="C367" s="321" t="s">
        <v>11</v>
      </c>
      <c r="D367" s="321"/>
      <c r="E367" s="321"/>
      <c r="F367" s="321"/>
      <c r="G367" s="321"/>
      <c r="H367" s="25">
        <f>601538+118362+8450</f>
        <v>728350</v>
      </c>
      <c r="I367" s="25"/>
      <c r="J367" s="25">
        <f>SUM(H367:I367)</f>
        <v>728350</v>
      </c>
    </row>
    <row r="368" spans="3:10" s="26" customFormat="1" ht="10.5" customHeight="1">
      <c r="C368" s="321" t="s">
        <v>124</v>
      </c>
      <c r="D368" s="321"/>
      <c r="E368" s="321"/>
      <c r="F368" s="321"/>
      <c r="G368" s="321"/>
      <c r="H368" s="25">
        <v>596196</v>
      </c>
      <c r="I368" s="25"/>
      <c r="J368" s="25">
        <f>SUM(H368:I368)</f>
        <v>596196</v>
      </c>
    </row>
    <row r="369" spans="3:10" s="35" customFormat="1" ht="13.5" customHeight="1">
      <c r="C369" s="36"/>
      <c r="D369" s="36"/>
      <c r="E369" s="36"/>
      <c r="F369" s="36"/>
      <c r="G369" s="36"/>
      <c r="H369" s="37"/>
      <c r="I369" s="37"/>
      <c r="J369" s="37"/>
    </row>
    <row r="370" spans="2:8" s="17" customFormat="1" ht="12">
      <c r="B370" s="18" t="s">
        <v>150</v>
      </c>
      <c r="C370" s="340" t="s">
        <v>67</v>
      </c>
      <c r="D370" s="340"/>
      <c r="E370" s="340"/>
      <c r="F370" s="340"/>
      <c r="G370" s="340"/>
      <c r="H370" s="340"/>
    </row>
    <row r="371" spans="2:10" s="20" customFormat="1" ht="10.5">
      <c r="B371" s="21"/>
      <c r="C371" s="330" t="s">
        <v>4</v>
      </c>
      <c r="D371" s="330"/>
      <c r="E371" s="330"/>
      <c r="F371" s="330"/>
      <c r="G371" s="330"/>
      <c r="H371" s="23">
        <f>H372</f>
        <v>200000</v>
      </c>
      <c r="I371" s="23">
        <f>I372</f>
        <v>0</v>
      </c>
      <c r="J371" s="23">
        <f>J372</f>
        <v>200000</v>
      </c>
    </row>
    <row r="372" spans="2:10" s="26" customFormat="1" ht="11.25">
      <c r="B372" s="27"/>
      <c r="C372" s="325" t="s">
        <v>6</v>
      </c>
      <c r="D372" s="325"/>
      <c r="E372" s="325"/>
      <c r="F372" s="325"/>
      <c r="G372" s="325"/>
      <c r="H372" s="25">
        <v>200000</v>
      </c>
      <c r="I372" s="25"/>
      <c r="J372" s="25">
        <f>SUM(H372:I372)</f>
        <v>200000</v>
      </c>
    </row>
    <row r="373" spans="2:10" s="20" customFormat="1" ht="10.5">
      <c r="B373" s="21"/>
      <c r="C373" s="330" t="s">
        <v>8</v>
      </c>
      <c r="D373" s="330"/>
      <c r="E373" s="330"/>
      <c r="F373" s="330"/>
      <c r="G373" s="330"/>
      <c r="H373" s="23">
        <f>H374+H375</f>
        <v>200000</v>
      </c>
      <c r="I373" s="23">
        <f>I374+I375</f>
        <v>0</v>
      </c>
      <c r="J373" s="23">
        <f>J374+J375</f>
        <v>200000</v>
      </c>
    </row>
    <row r="374" spans="3:10" s="26" customFormat="1" ht="11.25">
      <c r="C374" s="321" t="s">
        <v>11</v>
      </c>
      <c r="D374" s="321"/>
      <c r="E374" s="321"/>
      <c r="F374" s="321"/>
      <c r="G374" s="321"/>
      <c r="H374" s="25">
        <v>80000</v>
      </c>
      <c r="I374" s="25"/>
      <c r="J374" s="25">
        <f>SUM(H374:I374)</f>
        <v>80000</v>
      </c>
    </row>
    <row r="375" spans="3:10" s="26" customFormat="1" ht="11.25">
      <c r="C375" s="321" t="s">
        <v>124</v>
      </c>
      <c r="D375" s="321"/>
      <c r="E375" s="321"/>
      <c r="F375" s="321"/>
      <c r="G375" s="321"/>
      <c r="H375" s="25">
        <v>120000</v>
      </c>
      <c r="I375" s="25"/>
      <c r="J375" s="25">
        <f>SUM(H375:I375)</f>
        <v>120000</v>
      </c>
    </row>
    <row r="376" spans="3:10" s="35" customFormat="1" ht="13.5" customHeight="1">
      <c r="C376" s="36"/>
      <c r="D376" s="36"/>
      <c r="E376" s="36"/>
      <c r="F376" s="36"/>
      <c r="G376" s="36"/>
      <c r="H376" s="37"/>
      <c r="I376" s="37"/>
      <c r="J376" s="37"/>
    </row>
    <row r="377" spans="2:10" s="6" customFormat="1" ht="50.25" customHeight="1">
      <c r="B377" s="7" t="s">
        <v>1</v>
      </c>
      <c r="C377" s="327" t="s">
        <v>2</v>
      </c>
      <c r="D377" s="327"/>
      <c r="E377" s="327"/>
      <c r="F377" s="327"/>
      <c r="G377" s="327"/>
      <c r="H377" s="8" t="s">
        <v>442</v>
      </c>
      <c r="I377" s="8" t="s">
        <v>440</v>
      </c>
      <c r="J377" s="8" t="s">
        <v>441</v>
      </c>
    </row>
    <row r="378" spans="3:10" s="35" customFormat="1" ht="13.5" customHeight="1">
      <c r="C378" s="36"/>
      <c r="D378" s="36"/>
      <c r="E378" s="36"/>
      <c r="F378" s="36"/>
      <c r="G378" s="36"/>
      <c r="H378" s="37"/>
      <c r="I378" s="37"/>
      <c r="J378" s="37"/>
    </row>
    <row r="379" spans="2:8" s="17" customFormat="1" ht="12">
      <c r="B379" s="18" t="s">
        <v>150</v>
      </c>
      <c r="C379" s="340" t="s">
        <v>151</v>
      </c>
      <c r="D379" s="340"/>
      <c r="E379" s="340"/>
      <c r="F379" s="340"/>
      <c r="G379" s="340"/>
      <c r="H379" s="340"/>
    </row>
    <row r="380" spans="2:10" s="20" customFormat="1" ht="10.5">
      <c r="B380" s="21"/>
      <c r="C380" s="330" t="s">
        <v>4</v>
      </c>
      <c r="D380" s="330"/>
      <c r="E380" s="330"/>
      <c r="F380" s="330"/>
      <c r="G380" s="330"/>
      <c r="H380" s="23">
        <f>H381</f>
        <v>38122</v>
      </c>
      <c r="I380" s="23">
        <f>I381</f>
        <v>0</v>
      </c>
      <c r="J380" s="23">
        <f>J381</f>
        <v>38122</v>
      </c>
    </row>
    <row r="381" spans="2:10" s="26" customFormat="1" ht="11.25">
      <c r="B381" s="27"/>
      <c r="C381" s="325" t="s">
        <v>6</v>
      </c>
      <c r="D381" s="325"/>
      <c r="E381" s="325"/>
      <c r="F381" s="325"/>
      <c r="G381" s="325"/>
      <c r="H381" s="25">
        <v>38122</v>
      </c>
      <c r="I381" s="25"/>
      <c r="J381" s="25">
        <f>SUM(H381:I381)</f>
        <v>38122</v>
      </c>
    </row>
    <row r="382" spans="2:10" s="20" customFormat="1" ht="10.5">
      <c r="B382" s="21"/>
      <c r="C382" s="330" t="s">
        <v>8</v>
      </c>
      <c r="D382" s="330"/>
      <c r="E382" s="330"/>
      <c r="F382" s="330"/>
      <c r="G382" s="330"/>
      <c r="H382" s="23">
        <f>H383</f>
        <v>38122</v>
      </c>
      <c r="I382" s="23">
        <f>I383</f>
        <v>0</v>
      </c>
      <c r="J382" s="23">
        <f>J383</f>
        <v>38122</v>
      </c>
    </row>
    <row r="383" spans="3:10" s="26" customFormat="1" ht="11.25">
      <c r="C383" s="321" t="s">
        <v>124</v>
      </c>
      <c r="D383" s="321"/>
      <c r="E383" s="321"/>
      <c r="F383" s="321"/>
      <c r="G383" s="321"/>
      <c r="H383" s="25">
        <v>38122</v>
      </c>
      <c r="I383" s="25"/>
      <c r="J383" s="25">
        <f>SUM(H383:I383)</f>
        <v>38122</v>
      </c>
    </row>
    <row r="384" spans="3:10" s="35" customFormat="1" ht="11.25" customHeight="1">
      <c r="C384" s="36"/>
      <c r="D384" s="36"/>
      <c r="E384" s="36"/>
      <c r="F384" s="36"/>
      <c r="G384" s="36"/>
      <c r="H384" s="37"/>
      <c r="I384" s="37"/>
      <c r="J384" s="37"/>
    </row>
    <row r="385" spans="2:8" s="46" customFormat="1" ht="25.5" customHeight="1">
      <c r="B385" s="34" t="s">
        <v>150</v>
      </c>
      <c r="C385" s="298" t="s">
        <v>489</v>
      </c>
      <c r="D385" s="299"/>
      <c r="E385" s="299"/>
      <c r="F385" s="299"/>
      <c r="G385" s="299"/>
      <c r="H385" s="71"/>
    </row>
    <row r="386" spans="2:10" s="20" customFormat="1" ht="10.5">
      <c r="B386" s="21"/>
      <c r="C386" s="330" t="s">
        <v>4</v>
      </c>
      <c r="D386" s="330"/>
      <c r="E386" s="330"/>
      <c r="F386" s="330"/>
      <c r="G386" s="330"/>
      <c r="H386" s="23">
        <f>H387</f>
        <v>0</v>
      </c>
      <c r="I386" s="23">
        <f>I387</f>
        <v>240161</v>
      </c>
      <c r="J386" s="23">
        <f>J387</f>
        <v>240161</v>
      </c>
    </row>
    <row r="387" spans="2:10" s="26" customFormat="1" ht="11.25">
      <c r="B387" s="27"/>
      <c r="C387" s="325" t="s">
        <v>6</v>
      </c>
      <c r="D387" s="325"/>
      <c r="E387" s="325"/>
      <c r="F387" s="325"/>
      <c r="G387" s="325"/>
      <c r="H387" s="25">
        <v>0</v>
      </c>
      <c r="I387" s="25">
        <f>236999+3162</f>
        <v>240161</v>
      </c>
      <c r="J387" s="25">
        <f>SUM(H387:I387)</f>
        <v>240161</v>
      </c>
    </row>
    <row r="388" spans="2:10" s="20" customFormat="1" ht="10.5">
      <c r="B388" s="21"/>
      <c r="C388" s="330" t="s">
        <v>8</v>
      </c>
      <c r="D388" s="330"/>
      <c r="E388" s="330"/>
      <c r="F388" s="330"/>
      <c r="G388" s="330"/>
      <c r="H388" s="23">
        <f>H389</f>
        <v>0</v>
      </c>
      <c r="I388" s="23">
        <f>I389</f>
        <v>240161</v>
      </c>
      <c r="J388" s="23">
        <f>J389</f>
        <v>240161</v>
      </c>
    </row>
    <row r="389" spans="3:10" s="26" customFormat="1" ht="11.25">
      <c r="C389" s="321" t="s">
        <v>124</v>
      </c>
      <c r="D389" s="321"/>
      <c r="E389" s="321"/>
      <c r="F389" s="321"/>
      <c r="G389" s="321"/>
      <c r="H389" s="25">
        <v>0</v>
      </c>
      <c r="I389" s="25">
        <f>236999+3162</f>
        <v>240161</v>
      </c>
      <c r="J389" s="25">
        <f>SUM(H389:I389)</f>
        <v>240161</v>
      </c>
    </row>
    <row r="390" spans="3:10" s="35" customFormat="1" ht="11.25" customHeight="1">
      <c r="C390" s="36"/>
      <c r="D390" s="36"/>
      <c r="E390" s="36"/>
      <c r="F390" s="36"/>
      <c r="G390" s="36"/>
      <c r="H390" s="37"/>
      <c r="I390" s="37"/>
      <c r="J390" s="37"/>
    </row>
    <row r="391" spans="2:10" s="17" customFormat="1" ht="12">
      <c r="B391" s="18" t="s">
        <v>152</v>
      </c>
      <c r="C391" s="340" t="s">
        <v>68</v>
      </c>
      <c r="D391" s="340"/>
      <c r="E391" s="340"/>
      <c r="F391" s="340"/>
      <c r="G391" s="340"/>
      <c r="H391" s="19"/>
      <c r="I391" s="19"/>
      <c r="J391" s="19"/>
    </row>
    <row r="392" spans="2:10" s="20" customFormat="1" ht="10.5">
      <c r="B392" s="21"/>
      <c r="C392" s="330" t="s">
        <v>4</v>
      </c>
      <c r="D392" s="330"/>
      <c r="E392" s="330"/>
      <c r="F392" s="330"/>
      <c r="G392" s="330"/>
      <c r="H392" s="23">
        <f>H393</f>
        <v>1652</v>
      </c>
      <c r="I392" s="23">
        <f>I393</f>
        <v>0</v>
      </c>
      <c r="J392" s="23">
        <f>J393</f>
        <v>1652</v>
      </c>
    </row>
    <row r="393" spans="2:10" s="26" customFormat="1" ht="11.25">
      <c r="B393" s="27"/>
      <c r="C393" s="325" t="s">
        <v>6</v>
      </c>
      <c r="D393" s="325"/>
      <c r="E393" s="325"/>
      <c r="F393" s="325"/>
      <c r="G393" s="325"/>
      <c r="H393" s="25">
        <v>1652</v>
      </c>
      <c r="I393" s="25"/>
      <c r="J393" s="25">
        <f>SUM(H393:I393)</f>
        <v>1652</v>
      </c>
    </row>
    <row r="394" spans="2:10" s="20" customFormat="1" ht="10.5">
      <c r="B394" s="21"/>
      <c r="C394" s="330" t="s">
        <v>8</v>
      </c>
      <c r="D394" s="330"/>
      <c r="E394" s="330"/>
      <c r="F394" s="330"/>
      <c r="G394" s="330"/>
      <c r="H394" s="23">
        <f>H395</f>
        <v>1652</v>
      </c>
      <c r="I394" s="23">
        <f>I395</f>
        <v>0</v>
      </c>
      <c r="J394" s="23">
        <f>J395</f>
        <v>1652</v>
      </c>
    </row>
    <row r="395" spans="3:10" s="26" customFormat="1" ht="11.25">
      <c r="C395" s="321" t="s">
        <v>9</v>
      </c>
      <c r="D395" s="321"/>
      <c r="E395" s="321"/>
      <c r="F395" s="321"/>
      <c r="G395" s="321"/>
      <c r="H395" s="25">
        <v>1652</v>
      </c>
      <c r="I395" s="25"/>
      <c r="J395" s="25">
        <f>SUM(H395:I395)</f>
        <v>1652</v>
      </c>
    </row>
    <row r="396" spans="3:10" s="35" customFormat="1" ht="11.25" customHeight="1">
      <c r="C396" s="36"/>
      <c r="D396" s="36"/>
      <c r="E396" s="36"/>
      <c r="F396" s="36"/>
      <c r="G396" s="36"/>
      <c r="H396" s="37"/>
      <c r="I396" s="37"/>
      <c r="J396" s="37"/>
    </row>
    <row r="397" spans="2:10" s="26" customFormat="1" ht="12.75" customHeight="1">
      <c r="B397" s="18" t="s">
        <v>153</v>
      </c>
      <c r="C397" s="340" t="s">
        <v>65</v>
      </c>
      <c r="D397" s="340"/>
      <c r="E397" s="340"/>
      <c r="F397" s="340"/>
      <c r="G397" s="340"/>
      <c r="H397" s="19"/>
      <c r="I397" s="19"/>
      <c r="J397" s="19"/>
    </row>
    <row r="398" spans="2:10" s="26" customFormat="1" ht="12.75" customHeight="1">
      <c r="B398" s="21"/>
      <c r="C398" s="330" t="s">
        <v>4</v>
      </c>
      <c r="D398" s="330"/>
      <c r="E398" s="330"/>
      <c r="F398" s="330"/>
      <c r="G398" s="330"/>
      <c r="H398" s="23">
        <f>H399</f>
        <v>70280</v>
      </c>
      <c r="I398" s="23">
        <f>I399</f>
        <v>0</v>
      </c>
      <c r="J398" s="23">
        <f>J399</f>
        <v>70280</v>
      </c>
    </row>
    <row r="399" spans="2:10" s="26" customFormat="1" ht="12.75" customHeight="1">
      <c r="B399" s="27"/>
      <c r="C399" s="325" t="s">
        <v>6</v>
      </c>
      <c r="D399" s="325"/>
      <c r="E399" s="325"/>
      <c r="F399" s="325"/>
      <c r="G399" s="325"/>
      <c r="H399" s="25">
        <v>70280</v>
      </c>
      <c r="I399" s="25"/>
      <c r="J399" s="25">
        <f>SUM(H399:I399)</f>
        <v>70280</v>
      </c>
    </row>
    <row r="400" spans="2:10" s="26" customFormat="1" ht="12.75" customHeight="1">
      <c r="B400" s="21"/>
      <c r="C400" s="330" t="s">
        <v>8</v>
      </c>
      <c r="D400" s="330"/>
      <c r="E400" s="330"/>
      <c r="F400" s="330"/>
      <c r="G400" s="330"/>
      <c r="H400" s="23">
        <f>H401</f>
        <v>70280</v>
      </c>
      <c r="I400" s="23">
        <f>I401</f>
        <v>0</v>
      </c>
      <c r="J400" s="23">
        <f>J401</f>
        <v>70280</v>
      </c>
    </row>
    <row r="401" spans="3:10" s="26" customFormat="1" ht="12.75" customHeight="1">
      <c r="C401" s="321" t="s">
        <v>154</v>
      </c>
      <c r="D401" s="321"/>
      <c r="E401" s="321"/>
      <c r="F401" s="321"/>
      <c r="G401" s="321"/>
      <c r="H401" s="25">
        <v>70280</v>
      </c>
      <c r="I401" s="25"/>
      <c r="J401" s="25">
        <f>SUM(H401:I401)</f>
        <v>70280</v>
      </c>
    </row>
    <row r="402" spans="3:10" s="107" customFormat="1" ht="11.25" customHeight="1">
      <c r="C402" s="108"/>
      <c r="D402" s="294" t="s">
        <v>218</v>
      </c>
      <c r="E402" s="294"/>
      <c r="F402" s="294"/>
      <c r="G402" s="294"/>
      <c r="H402" s="109"/>
      <c r="I402" s="109"/>
      <c r="J402" s="109"/>
    </row>
    <row r="403" spans="3:10" s="35" customFormat="1" ht="9" customHeight="1">
      <c r="C403" s="36"/>
      <c r="D403" s="36"/>
      <c r="E403" s="36"/>
      <c r="F403" s="36"/>
      <c r="G403" s="36"/>
      <c r="H403" s="37"/>
      <c r="I403" s="37"/>
      <c r="J403" s="37"/>
    </row>
    <row r="404" spans="2:10" s="47" customFormat="1" ht="12">
      <c r="B404" s="48" t="s">
        <v>60</v>
      </c>
      <c r="C404" s="310" t="s">
        <v>155</v>
      </c>
      <c r="D404" s="310"/>
      <c r="E404" s="310"/>
      <c r="F404" s="310"/>
      <c r="G404" s="310"/>
      <c r="H404" s="49">
        <f>H407+H416+H422+H428</f>
        <v>1567315</v>
      </c>
      <c r="I404" s="49">
        <f>I407+I416+I422+I428</f>
        <v>0</v>
      </c>
      <c r="J404" s="49">
        <f>J407+J416+J422+J428</f>
        <v>1567315</v>
      </c>
    </row>
    <row r="405" spans="3:10" s="35" customFormat="1" ht="11.25" customHeight="1">
      <c r="C405" s="36"/>
      <c r="D405" s="36"/>
      <c r="E405" s="36"/>
      <c r="F405" s="36"/>
      <c r="G405" s="36"/>
      <c r="H405" s="37"/>
      <c r="I405" s="37"/>
      <c r="J405" s="37"/>
    </row>
    <row r="406" spans="2:10" s="17" customFormat="1" ht="12">
      <c r="B406" s="18" t="s">
        <v>156</v>
      </c>
      <c r="C406" s="340" t="s">
        <v>43</v>
      </c>
      <c r="D406" s="340"/>
      <c r="E406" s="340"/>
      <c r="F406" s="340"/>
      <c r="G406" s="340"/>
      <c r="H406" s="19"/>
      <c r="I406" s="19"/>
      <c r="J406" s="19"/>
    </row>
    <row r="407" spans="2:10" s="20" customFormat="1" ht="10.5">
      <c r="B407" s="21"/>
      <c r="C407" s="330" t="s">
        <v>4</v>
      </c>
      <c r="D407" s="330"/>
      <c r="E407" s="330"/>
      <c r="F407" s="330"/>
      <c r="G407" s="330"/>
      <c r="H407" s="23">
        <f>H408+H409</f>
        <v>58362</v>
      </c>
      <c r="I407" s="23">
        <f>I408+I409</f>
        <v>0</v>
      </c>
      <c r="J407" s="23">
        <f>J408+J409</f>
        <v>58362</v>
      </c>
    </row>
    <row r="408" spans="2:10" s="20" customFormat="1" ht="11.25">
      <c r="B408" s="21"/>
      <c r="C408" s="24" t="s">
        <v>5</v>
      </c>
      <c r="D408" s="24"/>
      <c r="E408" s="24"/>
      <c r="F408" s="24"/>
      <c r="G408" s="24"/>
      <c r="H408" s="25">
        <v>300</v>
      </c>
      <c r="I408" s="25"/>
      <c r="J408" s="25">
        <f>SUM(H408:I408)</f>
        <v>300</v>
      </c>
    </row>
    <row r="409" spans="2:10" s="26" customFormat="1" ht="11.25">
      <c r="B409" s="27"/>
      <c r="C409" s="325" t="s">
        <v>6</v>
      </c>
      <c r="D409" s="325"/>
      <c r="E409" s="325"/>
      <c r="F409" s="325"/>
      <c r="G409" s="325"/>
      <c r="H409" s="25">
        <v>58062</v>
      </c>
      <c r="I409" s="25"/>
      <c r="J409" s="25">
        <f>SUM(H409:I409)</f>
        <v>58062</v>
      </c>
    </row>
    <row r="410" spans="2:10" s="20" customFormat="1" ht="10.5">
      <c r="B410" s="21"/>
      <c r="C410" s="330" t="s">
        <v>8</v>
      </c>
      <c r="D410" s="330"/>
      <c r="E410" s="330"/>
      <c r="F410" s="330"/>
      <c r="G410" s="330"/>
      <c r="H410" s="23">
        <f>H411+H413</f>
        <v>58362</v>
      </c>
      <c r="I410" s="23">
        <f>I411+I413</f>
        <v>0</v>
      </c>
      <c r="J410" s="23">
        <f>J411+J413</f>
        <v>58362</v>
      </c>
    </row>
    <row r="411" spans="3:10" s="26" customFormat="1" ht="11.25">
      <c r="C411" s="321" t="s">
        <v>11</v>
      </c>
      <c r="D411" s="321"/>
      <c r="E411" s="321"/>
      <c r="F411" s="321"/>
      <c r="G411" s="321"/>
      <c r="H411" s="25">
        <f>49342+300</f>
        <v>49642</v>
      </c>
      <c r="I411" s="25"/>
      <c r="J411" s="25">
        <f>SUM(H411:I411)</f>
        <v>49642</v>
      </c>
    </row>
    <row r="412" spans="3:10" s="26" customFormat="1" ht="11.25">
      <c r="C412" s="28"/>
      <c r="D412" s="297" t="s">
        <v>206</v>
      </c>
      <c r="E412" s="297"/>
      <c r="F412" s="297"/>
      <c r="G412" s="297"/>
      <c r="H412" s="41">
        <v>30648</v>
      </c>
      <c r="I412" s="41"/>
      <c r="J412" s="41">
        <f>SUM(H412:I412)</f>
        <v>30648</v>
      </c>
    </row>
    <row r="413" spans="3:10" s="26" customFormat="1" ht="11.25">
      <c r="C413" s="321" t="s">
        <v>124</v>
      </c>
      <c r="D413" s="321"/>
      <c r="E413" s="321"/>
      <c r="F413" s="321"/>
      <c r="G413" s="321"/>
      <c r="H413" s="25">
        <v>8720</v>
      </c>
      <c r="I413" s="25"/>
      <c r="J413" s="25">
        <f>SUM(H413:I413)</f>
        <v>8720</v>
      </c>
    </row>
    <row r="414" spans="3:10" s="35" customFormat="1" ht="9" customHeight="1">
      <c r="C414" s="36"/>
      <c r="D414" s="36"/>
      <c r="E414" s="36"/>
      <c r="F414" s="36"/>
      <c r="G414" s="36"/>
      <c r="H414" s="37"/>
      <c r="I414" s="37"/>
      <c r="J414" s="37"/>
    </row>
    <row r="415" spans="2:10" s="20" customFormat="1" ht="12">
      <c r="B415" s="18" t="s">
        <v>156</v>
      </c>
      <c r="C415" s="32" t="s">
        <v>42</v>
      </c>
      <c r="D415" s="32"/>
      <c r="E415" s="32"/>
      <c r="F415" s="32"/>
      <c r="G415" s="50"/>
      <c r="H415" s="25"/>
      <c r="I415" s="25"/>
      <c r="J415" s="25"/>
    </row>
    <row r="416" spans="2:10" s="20" customFormat="1" ht="10.5">
      <c r="B416" s="21"/>
      <c r="C416" s="330" t="s">
        <v>4</v>
      </c>
      <c r="D416" s="330"/>
      <c r="E416" s="330"/>
      <c r="F416" s="330"/>
      <c r="G416" s="330"/>
      <c r="H416" s="23">
        <f>H417</f>
        <v>7792</v>
      </c>
      <c r="I416" s="23">
        <f>I417</f>
        <v>0</v>
      </c>
      <c r="J416" s="23">
        <f>J417</f>
        <v>7792</v>
      </c>
    </row>
    <row r="417" spans="2:10" s="26" customFormat="1" ht="11.25">
      <c r="B417" s="27"/>
      <c r="C417" s="325" t="s">
        <v>6</v>
      </c>
      <c r="D417" s="325"/>
      <c r="E417" s="325"/>
      <c r="F417" s="325"/>
      <c r="G417" s="325"/>
      <c r="H417" s="25">
        <v>7792</v>
      </c>
      <c r="I417" s="25"/>
      <c r="J417" s="25">
        <f>SUM(H417:I417)</f>
        <v>7792</v>
      </c>
    </row>
    <row r="418" spans="2:10" s="20" customFormat="1" ht="10.5">
      <c r="B418" s="21"/>
      <c r="C418" s="330" t="s">
        <v>8</v>
      </c>
      <c r="D418" s="330"/>
      <c r="E418" s="330"/>
      <c r="F418" s="330"/>
      <c r="G418" s="330"/>
      <c r="H418" s="23">
        <f>H419</f>
        <v>7792</v>
      </c>
      <c r="I418" s="23">
        <f>I419</f>
        <v>0</v>
      </c>
      <c r="J418" s="23">
        <f>J419</f>
        <v>7792</v>
      </c>
    </row>
    <row r="419" spans="2:10" s="20" customFormat="1" ht="11.25">
      <c r="B419" s="21"/>
      <c r="C419" s="321" t="s">
        <v>11</v>
      </c>
      <c r="D419" s="321"/>
      <c r="E419" s="321"/>
      <c r="F419" s="321"/>
      <c r="G419" s="321"/>
      <c r="H419" s="25">
        <v>7792</v>
      </c>
      <c r="I419" s="25"/>
      <c r="J419" s="25">
        <f>SUM(H419:I419)</f>
        <v>7792</v>
      </c>
    </row>
    <row r="420" spans="3:10" s="35" customFormat="1" ht="9" customHeight="1">
      <c r="C420" s="36"/>
      <c r="D420" s="36"/>
      <c r="E420" s="36"/>
      <c r="F420" s="36"/>
      <c r="G420" s="36"/>
      <c r="H420" s="37"/>
      <c r="I420" s="37"/>
      <c r="J420" s="37"/>
    </row>
    <row r="421" spans="2:10" s="17" customFormat="1" ht="12">
      <c r="B421" s="18" t="s">
        <v>157</v>
      </c>
      <c r="C421" s="340" t="s">
        <v>41</v>
      </c>
      <c r="D421" s="340"/>
      <c r="E421" s="340"/>
      <c r="F421" s="340"/>
      <c r="G421" s="340"/>
      <c r="H421" s="19"/>
      <c r="I421" s="19"/>
      <c r="J421" s="19"/>
    </row>
    <row r="422" spans="2:10" s="20" customFormat="1" ht="10.5">
      <c r="B422" s="21"/>
      <c r="C422" s="330" t="s">
        <v>4</v>
      </c>
      <c r="D422" s="330"/>
      <c r="E422" s="330"/>
      <c r="F422" s="330"/>
      <c r="G422" s="330"/>
      <c r="H422" s="23">
        <f>H423</f>
        <v>50000</v>
      </c>
      <c r="I422" s="23">
        <f>I423</f>
        <v>0</v>
      </c>
      <c r="J422" s="23">
        <f>J423</f>
        <v>50000</v>
      </c>
    </row>
    <row r="423" spans="2:10" s="26" customFormat="1" ht="11.25">
      <c r="B423" s="27"/>
      <c r="C423" s="325" t="s">
        <v>6</v>
      </c>
      <c r="D423" s="325"/>
      <c r="E423" s="325"/>
      <c r="F423" s="325"/>
      <c r="G423" s="325"/>
      <c r="H423" s="25">
        <v>50000</v>
      </c>
      <c r="I423" s="25"/>
      <c r="J423" s="25">
        <f>SUM(H423:I423)</f>
        <v>50000</v>
      </c>
    </row>
    <row r="424" spans="2:10" s="20" customFormat="1" ht="10.5">
      <c r="B424" s="21"/>
      <c r="C424" s="330" t="s">
        <v>8</v>
      </c>
      <c r="D424" s="330"/>
      <c r="E424" s="330"/>
      <c r="F424" s="330"/>
      <c r="G424" s="330"/>
      <c r="H424" s="23">
        <f>H425</f>
        <v>50000</v>
      </c>
      <c r="I424" s="23">
        <f>I425</f>
        <v>0</v>
      </c>
      <c r="J424" s="23">
        <f>J425</f>
        <v>50000</v>
      </c>
    </row>
    <row r="425" spans="2:10" s="20" customFormat="1" ht="11.25">
      <c r="B425" s="21"/>
      <c r="C425" s="321" t="s">
        <v>11</v>
      </c>
      <c r="D425" s="321"/>
      <c r="E425" s="321"/>
      <c r="F425" s="321"/>
      <c r="G425" s="321"/>
      <c r="H425" s="25">
        <v>50000</v>
      </c>
      <c r="I425" s="25"/>
      <c r="J425" s="25">
        <f>SUM(H425:I425)</f>
        <v>50000</v>
      </c>
    </row>
    <row r="426" spans="3:10" s="26" customFormat="1" ht="7.5" customHeight="1">
      <c r="C426" s="28"/>
      <c r="D426" s="28"/>
      <c r="E426" s="28"/>
      <c r="F426" s="28"/>
      <c r="G426" s="28"/>
      <c r="H426" s="25"/>
      <c r="I426" s="25"/>
      <c r="J426" s="25"/>
    </row>
    <row r="427" spans="2:10" s="26" customFormat="1" ht="11.25" customHeight="1">
      <c r="B427" s="18" t="s">
        <v>159</v>
      </c>
      <c r="C427" s="340" t="s">
        <v>44</v>
      </c>
      <c r="D427" s="340"/>
      <c r="E427" s="340"/>
      <c r="F427" s="340"/>
      <c r="G427" s="340"/>
      <c r="H427" s="19"/>
      <c r="I427" s="19"/>
      <c r="J427" s="19"/>
    </row>
    <row r="428" spans="2:10" s="26" customFormat="1" ht="11.25" customHeight="1">
      <c r="B428" s="21"/>
      <c r="C428" s="330" t="s">
        <v>4</v>
      </c>
      <c r="D428" s="330"/>
      <c r="E428" s="330"/>
      <c r="F428" s="330"/>
      <c r="G428" s="330"/>
      <c r="H428" s="23">
        <f>H429+H430+H431+H432</f>
        <v>1451161</v>
      </c>
      <c r="I428" s="23">
        <f>I429+I430+I431+I432</f>
        <v>0</v>
      </c>
      <c r="J428" s="23">
        <f>J429+J430+J431+J432</f>
        <v>1451161</v>
      </c>
    </row>
    <row r="429" spans="2:10" s="26" customFormat="1" ht="11.25" customHeight="1">
      <c r="B429" s="21"/>
      <c r="C429" s="325" t="s">
        <v>5</v>
      </c>
      <c r="D429" s="325"/>
      <c r="E429" s="325"/>
      <c r="F429" s="325"/>
      <c r="G429" s="325"/>
      <c r="H429" s="25">
        <v>5047</v>
      </c>
      <c r="I429" s="25"/>
      <c r="J429" s="25">
        <f>SUM(H429:I429)</f>
        <v>5047</v>
      </c>
    </row>
    <row r="430" spans="2:10" s="26" customFormat="1" ht="11.25" customHeight="1">
      <c r="B430" s="27"/>
      <c r="C430" s="325" t="s">
        <v>6</v>
      </c>
      <c r="D430" s="325"/>
      <c r="E430" s="325"/>
      <c r="F430" s="325"/>
      <c r="G430" s="325"/>
      <c r="H430" s="25">
        <v>1450</v>
      </c>
      <c r="I430" s="25"/>
      <c r="J430" s="25">
        <f>SUM(H430:I430)</f>
        <v>1450</v>
      </c>
    </row>
    <row r="431" spans="2:10" s="26" customFormat="1" ht="11.25" customHeight="1">
      <c r="B431" s="27"/>
      <c r="C431" s="325" t="s">
        <v>158</v>
      </c>
      <c r="D431" s="325"/>
      <c r="E431" s="325"/>
      <c r="F431" s="325"/>
      <c r="G431" s="325"/>
      <c r="H431" s="25">
        <v>1424664</v>
      </c>
      <c r="I431" s="25"/>
      <c r="J431" s="25">
        <f>SUM(H431:I431)</f>
        <v>1424664</v>
      </c>
    </row>
    <row r="432" spans="2:10" s="26" customFormat="1" ht="11.25" customHeight="1">
      <c r="B432" s="27"/>
      <c r="C432" s="325" t="s">
        <v>7</v>
      </c>
      <c r="D432" s="325"/>
      <c r="E432" s="325"/>
      <c r="F432" s="325"/>
      <c r="G432" s="325"/>
      <c r="H432" s="25">
        <v>20000</v>
      </c>
      <c r="I432" s="25"/>
      <c r="J432" s="25">
        <f>SUM(H432:I432)</f>
        <v>20000</v>
      </c>
    </row>
    <row r="433" spans="2:10" s="26" customFormat="1" ht="11.25" customHeight="1">
      <c r="B433" s="21"/>
      <c r="C433" s="330" t="s">
        <v>8</v>
      </c>
      <c r="D433" s="330"/>
      <c r="E433" s="330"/>
      <c r="F433" s="330"/>
      <c r="G433" s="330"/>
      <c r="H433" s="23">
        <f>H434+H436</f>
        <v>1451161</v>
      </c>
      <c r="I433" s="23">
        <f>I434+I436</f>
        <v>0</v>
      </c>
      <c r="J433" s="23">
        <f>J434+J436</f>
        <v>1451161</v>
      </c>
    </row>
    <row r="434" spans="3:10" s="26" customFormat="1" ht="11.25" customHeight="1">
      <c r="C434" s="321" t="s">
        <v>11</v>
      </c>
      <c r="D434" s="321"/>
      <c r="E434" s="321"/>
      <c r="F434" s="321"/>
      <c r="G434" s="321"/>
      <c r="H434" s="25">
        <v>1423161</v>
      </c>
      <c r="I434" s="25"/>
      <c r="J434" s="25">
        <f>SUM(H434:I434)</f>
        <v>1423161</v>
      </c>
    </row>
    <row r="435" spans="3:10" s="26" customFormat="1" ht="11.25" customHeight="1">
      <c r="C435" s="28"/>
      <c r="D435" s="297" t="s">
        <v>206</v>
      </c>
      <c r="E435" s="297"/>
      <c r="F435" s="297"/>
      <c r="G435" s="297"/>
      <c r="H435" s="41">
        <v>975460</v>
      </c>
      <c r="I435" s="41"/>
      <c r="J435" s="41">
        <f>SUM(H435:I435)</f>
        <v>975460</v>
      </c>
    </row>
    <row r="436" spans="3:10" s="26" customFormat="1" ht="11.25" customHeight="1">
      <c r="C436" s="321" t="s">
        <v>124</v>
      </c>
      <c r="D436" s="321"/>
      <c r="E436" s="321"/>
      <c r="F436" s="321"/>
      <c r="G436" s="321"/>
      <c r="H436" s="25">
        <v>28000</v>
      </c>
      <c r="I436" s="25"/>
      <c r="J436" s="25">
        <f>SUM(H436:I436)</f>
        <v>28000</v>
      </c>
    </row>
    <row r="437" spans="3:10" s="26" customFormat="1" ht="10.5" customHeight="1">
      <c r="C437" s="28"/>
      <c r="D437" s="28"/>
      <c r="E437" s="28"/>
      <c r="F437" s="28"/>
      <c r="G437" s="28"/>
      <c r="H437" s="25"/>
      <c r="I437" s="25"/>
      <c r="J437" s="25"/>
    </row>
    <row r="438" spans="3:10" s="26" customFormat="1" ht="10.5" customHeight="1">
      <c r="C438" s="28"/>
      <c r="D438" s="28"/>
      <c r="E438" s="28"/>
      <c r="F438" s="28"/>
      <c r="G438" s="28"/>
      <c r="H438" s="25"/>
      <c r="I438" s="25"/>
      <c r="J438" s="25"/>
    </row>
    <row r="439" spans="3:10" s="26" customFormat="1" ht="10.5" customHeight="1">
      <c r="C439" s="28"/>
      <c r="D439" s="28"/>
      <c r="E439" s="28"/>
      <c r="F439" s="28"/>
      <c r="G439" s="28"/>
      <c r="H439" s="25"/>
      <c r="I439" s="25"/>
      <c r="J439" s="25"/>
    </row>
    <row r="440" spans="3:10" s="26" customFormat="1" ht="10.5" customHeight="1">
      <c r="C440" s="28"/>
      <c r="D440" s="28"/>
      <c r="E440" s="28"/>
      <c r="F440" s="28"/>
      <c r="G440" s="28"/>
      <c r="H440" s="25"/>
      <c r="I440" s="25"/>
      <c r="J440" s="25"/>
    </row>
    <row r="441" spans="3:10" s="26" customFormat="1" ht="10.5" customHeight="1">
      <c r="C441" s="28"/>
      <c r="D441" s="28"/>
      <c r="E441" s="28"/>
      <c r="F441" s="28"/>
      <c r="G441" s="28"/>
      <c r="H441" s="25"/>
      <c r="I441" s="25"/>
      <c r="J441" s="25"/>
    </row>
    <row r="442" spans="3:10" s="26" customFormat="1" ht="10.5" customHeight="1">
      <c r="C442" s="28"/>
      <c r="D442" s="28"/>
      <c r="E442" s="28"/>
      <c r="F442" s="28"/>
      <c r="G442" s="28"/>
      <c r="H442" s="25"/>
      <c r="I442" s="25"/>
      <c r="J442" s="25"/>
    </row>
    <row r="443" spans="3:10" s="26" customFormat="1" ht="10.5" customHeight="1">
      <c r="C443" s="28"/>
      <c r="D443" s="28"/>
      <c r="E443" s="28"/>
      <c r="F443" s="28"/>
      <c r="G443" s="28"/>
      <c r="H443" s="25"/>
      <c r="I443" s="25"/>
      <c r="J443" s="25"/>
    </row>
    <row r="444" spans="3:10" s="26" customFormat="1" ht="10.5" customHeight="1">
      <c r="C444" s="28"/>
      <c r="D444" s="28"/>
      <c r="E444" s="28"/>
      <c r="F444" s="28"/>
      <c r="G444" s="28"/>
      <c r="H444" s="25"/>
      <c r="I444" s="25"/>
      <c r="J444" s="25"/>
    </row>
    <row r="445" spans="2:10" s="6" customFormat="1" ht="50.25" customHeight="1">
      <c r="B445" s="7" t="s">
        <v>1</v>
      </c>
      <c r="C445" s="327" t="s">
        <v>2</v>
      </c>
      <c r="D445" s="327"/>
      <c r="E445" s="327"/>
      <c r="F445" s="327"/>
      <c r="G445" s="327"/>
      <c r="H445" s="8" t="s">
        <v>442</v>
      </c>
      <c r="I445" s="8" t="s">
        <v>440</v>
      </c>
      <c r="J445" s="8" t="s">
        <v>441</v>
      </c>
    </row>
    <row r="446" spans="3:10" s="26" customFormat="1" ht="10.5" customHeight="1">
      <c r="C446" s="28"/>
      <c r="D446" s="28"/>
      <c r="E446" s="28"/>
      <c r="F446" s="28"/>
      <c r="G446" s="28"/>
      <c r="H446" s="25"/>
      <c r="I446" s="25"/>
      <c r="J446" s="25"/>
    </row>
    <row r="447" spans="2:10" s="47" customFormat="1" ht="14.25" customHeight="1">
      <c r="B447" s="48" t="s">
        <v>69</v>
      </c>
      <c r="C447" s="310" t="s">
        <v>196</v>
      </c>
      <c r="D447" s="310"/>
      <c r="E447" s="310"/>
      <c r="F447" s="310"/>
      <c r="G447" s="310"/>
      <c r="H447" s="49">
        <f>H450+H477+H491+H501+H534+H568+H591+H598+H606+H612+H620+H653+H483</f>
        <v>2473670</v>
      </c>
      <c r="I447" s="49">
        <f>I450+I477+I491+I501+I534+I568+I591+I598+I606+I612+I620+I653+I483</f>
        <v>323325</v>
      </c>
      <c r="J447" s="49">
        <f>J450+J477+J491+J501+J534+J568+J591+J598+J606+J612+J620+J653+J483</f>
        <v>2796995</v>
      </c>
    </row>
    <row r="448" spans="2:10" s="47" customFormat="1" ht="12">
      <c r="B448" s="35"/>
      <c r="C448" s="36"/>
      <c r="D448" s="36"/>
      <c r="E448" s="36"/>
      <c r="F448" s="36"/>
      <c r="G448" s="36"/>
      <c r="H448" s="37"/>
      <c r="I448" s="37"/>
      <c r="J448" s="37"/>
    </row>
    <row r="449" spans="2:10" s="17" customFormat="1" ht="12">
      <c r="B449" s="18" t="s">
        <v>69</v>
      </c>
      <c r="C449" s="340" t="s">
        <v>70</v>
      </c>
      <c r="D449" s="340"/>
      <c r="E449" s="340"/>
      <c r="F449" s="340"/>
      <c r="G449" s="340"/>
      <c r="H449" s="19"/>
      <c r="I449" s="19"/>
      <c r="J449" s="19"/>
    </row>
    <row r="450" spans="2:10" s="20" customFormat="1" ht="10.5">
      <c r="B450" s="21"/>
      <c r="C450" s="330" t="s">
        <v>4</v>
      </c>
      <c r="D450" s="330"/>
      <c r="E450" s="330"/>
      <c r="F450" s="330"/>
      <c r="G450" s="330"/>
      <c r="H450" s="23">
        <f>H451+H452+H453</f>
        <v>528064</v>
      </c>
      <c r="I450" s="23">
        <f>I451+I452+I453</f>
        <v>8325</v>
      </c>
      <c r="J450" s="23">
        <f>J451+J452+J453</f>
        <v>536389</v>
      </c>
    </row>
    <row r="451" spans="2:10" s="20" customFormat="1" ht="11.25">
      <c r="B451" s="21"/>
      <c r="C451" s="325" t="s">
        <v>5</v>
      </c>
      <c r="D451" s="325"/>
      <c r="E451" s="325"/>
      <c r="F451" s="325"/>
      <c r="G451" s="325"/>
      <c r="H451" s="25">
        <f>SUM(H461)</f>
        <v>6629</v>
      </c>
      <c r="I451" s="25">
        <f>SUM(I461)</f>
        <v>0</v>
      </c>
      <c r="J451" s="25">
        <f>SUM(J461)</f>
        <v>6629</v>
      </c>
    </row>
    <row r="452" spans="2:10" s="26" customFormat="1" ht="11.25">
      <c r="B452" s="27"/>
      <c r="C452" s="325" t="s">
        <v>6</v>
      </c>
      <c r="D452" s="325"/>
      <c r="E452" s="325"/>
      <c r="F452" s="325"/>
      <c r="G452" s="325"/>
      <c r="H452" s="25">
        <f>H471+H462</f>
        <v>467473</v>
      </c>
      <c r="I452" s="25">
        <f>I471+I462</f>
        <v>8325</v>
      </c>
      <c r="J452" s="25">
        <f>J471+J462</f>
        <v>475798</v>
      </c>
    </row>
    <row r="453" spans="2:10" s="26" customFormat="1" ht="11.25">
      <c r="B453" s="27"/>
      <c r="C453" s="325" t="s">
        <v>7</v>
      </c>
      <c r="D453" s="325"/>
      <c r="E453" s="325"/>
      <c r="F453" s="325"/>
      <c r="G453" s="325"/>
      <c r="H453" s="25">
        <f>H463</f>
        <v>53962</v>
      </c>
      <c r="I453" s="25">
        <f>I463</f>
        <v>0</v>
      </c>
      <c r="J453" s="25">
        <f>J463</f>
        <v>53962</v>
      </c>
    </row>
    <row r="454" spans="2:10" s="20" customFormat="1" ht="10.5">
      <c r="B454" s="21"/>
      <c r="C454" s="330" t="s">
        <v>8</v>
      </c>
      <c r="D454" s="330"/>
      <c r="E454" s="330"/>
      <c r="F454" s="330"/>
      <c r="G454" s="330"/>
      <c r="H454" s="23">
        <f>H455+H457</f>
        <v>528064</v>
      </c>
      <c r="I454" s="23">
        <f>I455+I457</f>
        <v>8325</v>
      </c>
      <c r="J454" s="23">
        <f>J455+J457</f>
        <v>536389</v>
      </c>
    </row>
    <row r="455" spans="3:10" s="26" customFormat="1" ht="11.25">
      <c r="C455" s="321" t="s">
        <v>11</v>
      </c>
      <c r="D455" s="321"/>
      <c r="E455" s="321"/>
      <c r="F455" s="321"/>
      <c r="G455" s="321"/>
      <c r="H455" s="25">
        <f>H473+H465</f>
        <v>517894</v>
      </c>
      <c r="I455" s="25">
        <f>I473+I465</f>
        <v>8325</v>
      </c>
      <c r="J455" s="25">
        <f>J473+J465</f>
        <v>526219</v>
      </c>
    </row>
    <row r="456" spans="3:10" s="77" customFormat="1" ht="11.25">
      <c r="C456" s="76"/>
      <c r="D456" s="297" t="s">
        <v>206</v>
      </c>
      <c r="E456" s="297"/>
      <c r="F456" s="297"/>
      <c r="G456" s="297"/>
      <c r="H456" s="41">
        <f>H466+H474</f>
        <v>96825</v>
      </c>
      <c r="I456" s="41">
        <f>I466+I474</f>
        <v>0</v>
      </c>
      <c r="J456" s="41">
        <f>J466+J474</f>
        <v>96825</v>
      </c>
    </row>
    <row r="457" spans="3:10" s="26" customFormat="1" ht="11.25">
      <c r="C457" s="321" t="s">
        <v>124</v>
      </c>
      <c r="D457" s="321"/>
      <c r="E457" s="321"/>
      <c r="F457" s="321"/>
      <c r="G457" s="321"/>
      <c r="H457" s="25">
        <f>H467</f>
        <v>10170</v>
      </c>
      <c r="I457" s="25">
        <f>I467</f>
        <v>0</v>
      </c>
      <c r="J457" s="25">
        <f>J467</f>
        <v>10170</v>
      </c>
    </row>
    <row r="458" spans="3:10" s="26" customFormat="1" ht="8.25" customHeight="1">
      <c r="C458" s="28"/>
      <c r="D458" s="28"/>
      <c r="E458" s="28"/>
      <c r="F458" s="28"/>
      <c r="G458" s="28"/>
      <c r="H458" s="25"/>
      <c r="I458" s="25"/>
      <c r="J458" s="25"/>
    </row>
    <row r="459" spans="2:10" s="33" customFormat="1" ht="22.5" customHeight="1">
      <c r="B459" s="51" t="s">
        <v>74</v>
      </c>
      <c r="C459" s="302" t="s">
        <v>162</v>
      </c>
      <c r="D459" s="302"/>
      <c r="E459" s="302"/>
      <c r="F459" s="302"/>
      <c r="G459" s="302"/>
      <c r="H459" s="52"/>
      <c r="I459" s="52"/>
      <c r="J459" s="52"/>
    </row>
    <row r="460" spans="2:10" s="20" customFormat="1" ht="10.5">
      <c r="B460" s="21"/>
      <c r="C460" s="330" t="s">
        <v>4</v>
      </c>
      <c r="D460" s="330"/>
      <c r="E460" s="330"/>
      <c r="F460" s="330"/>
      <c r="G460" s="330"/>
      <c r="H460" s="23">
        <f>H461+H462+H463</f>
        <v>501675</v>
      </c>
      <c r="I460" s="23">
        <f>I461+I462+I463</f>
        <v>8325</v>
      </c>
      <c r="J460" s="23">
        <f>J461+J462+J463</f>
        <v>510000</v>
      </c>
    </row>
    <row r="461" spans="2:10" s="20" customFormat="1" ht="11.25">
      <c r="B461" s="21"/>
      <c r="C461" s="325" t="s">
        <v>5</v>
      </c>
      <c r="D461" s="325"/>
      <c r="E461" s="325"/>
      <c r="F461" s="325"/>
      <c r="G461" s="325"/>
      <c r="H461" s="25">
        <v>6629</v>
      </c>
      <c r="I461" s="25"/>
      <c r="J461" s="25">
        <f>SUM(H461:I461)</f>
        <v>6629</v>
      </c>
    </row>
    <row r="462" spans="2:10" s="26" customFormat="1" ht="11.25">
      <c r="B462" s="27"/>
      <c r="C462" s="325" t="s">
        <v>6</v>
      </c>
      <c r="D462" s="325"/>
      <c r="E462" s="325"/>
      <c r="F462" s="325"/>
      <c r="G462" s="325"/>
      <c r="H462" s="25">
        <f>61955+196500+148480+10285+23864</f>
        <v>441084</v>
      </c>
      <c r="I462" s="25">
        <v>8325</v>
      </c>
      <c r="J462" s="25">
        <f aca="true" t="shared" si="2" ref="J462:J467">SUM(H462:I462)</f>
        <v>449409</v>
      </c>
    </row>
    <row r="463" spans="2:10" s="26" customFormat="1" ht="11.25">
      <c r="B463" s="27"/>
      <c r="C463" s="325" t="s">
        <v>7</v>
      </c>
      <c r="D463" s="325"/>
      <c r="E463" s="325"/>
      <c r="F463" s="325"/>
      <c r="G463" s="325"/>
      <c r="H463" s="25">
        <v>53962</v>
      </c>
      <c r="I463" s="25"/>
      <c r="J463" s="25">
        <f t="shared" si="2"/>
        <v>53962</v>
      </c>
    </row>
    <row r="464" spans="2:10" s="20" customFormat="1" ht="10.5">
      <c r="B464" s="21"/>
      <c r="C464" s="330" t="s">
        <v>8</v>
      </c>
      <c r="D464" s="330"/>
      <c r="E464" s="330"/>
      <c r="F464" s="330"/>
      <c r="G464" s="330"/>
      <c r="H464" s="23">
        <f>H465+H467</f>
        <v>501675</v>
      </c>
      <c r="I464" s="23">
        <f>I465+I467</f>
        <v>8325</v>
      </c>
      <c r="J464" s="23">
        <f>J465+J467</f>
        <v>510000</v>
      </c>
    </row>
    <row r="465" spans="3:10" s="26" customFormat="1" ht="11.25">
      <c r="C465" s="321" t="s">
        <v>11</v>
      </c>
      <c r="D465" s="321"/>
      <c r="E465" s="321"/>
      <c r="F465" s="321"/>
      <c r="G465" s="321"/>
      <c r="H465" s="25">
        <f>59085+53291+196500+148480+10285+23864</f>
        <v>491505</v>
      </c>
      <c r="I465" s="25">
        <v>8325</v>
      </c>
      <c r="J465" s="25">
        <f t="shared" si="2"/>
        <v>499830</v>
      </c>
    </row>
    <row r="466" spans="3:10" s="26" customFormat="1" ht="11.25">
      <c r="C466" s="28"/>
      <c r="D466" s="297" t="s">
        <v>206</v>
      </c>
      <c r="E466" s="297"/>
      <c r="F466" s="297"/>
      <c r="G466" s="297"/>
      <c r="H466" s="41">
        <f>2550+3760+62000+9055</f>
        <v>77365</v>
      </c>
      <c r="I466" s="41"/>
      <c r="J466" s="41">
        <f>SUM(H466:I466)</f>
        <v>77365</v>
      </c>
    </row>
    <row r="467" spans="3:10" s="26" customFormat="1" ht="11.25">
      <c r="C467" s="321" t="s">
        <v>124</v>
      </c>
      <c r="D467" s="321"/>
      <c r="E467" s="321"/>
      <c r="F467" s="321"/>
      <c r="G467" s="321"/>
      <c r="H467" s="25">
        <f>2870+7300</f>
        <v>10170</v>
      </c>
      <c r="I467" s="25"/>
      <c r="J467" s="25">
        <f t="shared" si="2"/>
        <v>10170</v>
      </c>
    </row>
    <row r="468" spans="3:10" s="26" customFormat="1" ht="7.5" customHeight="1">
      <c r="C468" s="28"/>
      <c r="D468" s="28"/>
      <c r="E468" s="28"/>
      <c r="F468" s="28"/>
      <c r="G468" s="28"/>
      <c r="H468" s="25"/>
      <c r="I468" s="25"/>
      <c r="J468" s="25"/>
    </row>
    <row r="469" spans="2:10" s="26" customFormat="1" ht="11.25">
      <c r="B469" s="27" t="s">
        <v>161</v>
      </c>
      <c r="C469" s="321" t="s">
        <v>71</v>
      </c>
      <c r="D469" s="321"/>
      <c r="E469" s="321"/>
      <c r="F469" s="321"/>
      <c r="G469" s="321"/>
      <c r="H469" s="25"/>
      <c r="I469" s="25"/>
      <c r="J469" s="25"/>
    </row>
    <row r="470" spans="2:10" s="20" customFormat="1" ht="10.5">
      <c r="B470" s="21"/>
      <c r="C470" s="330" t="s">
        <v>4</v>
      </c>
      <c r="D470" s="330"/>
      <c r="E470" s="330"/>
      <c r="F470" s="330"/>
      <c r="G470" s="330"/>
      <c r="H470" s="23">
        <f>H471</f>
        <v>26389</v>
      </c>
      <c r="I470" s="23">
        <f>I471</f>
        <v>0</v>
      </c>
      <c r="J470" s="23">
        <f>J471</f>
        <v>26389</v>
      </c>
    </row>
    <row r="471" spans="2:10" s="26" customFormat="1" ht="11.25">
      <c r="B471" s="27"/>
      <c r="C471" s="325" t="s">
        <v>6</v>
      </c>
      <c r="D471" s="325"/>
      <c r="E471" s="325"/>
      <c r="F471" s="325"/>
      <c r="G471" s="325"/>
      <c r="H471" s="25">
        <v>26389</v>
      </c>
      <c r="I471" s="25"/>
      <c r="J471" s="25">
        <f>SUM(H471:I471)</f>
        <v>26389</v>
      </c>
    </row>
    <row r="472" spans="2:10" s="20" customFormat="1" ht="10.5">
      <c r="B472" s="21"/>
      <c r="C472" s="330" t="s">
        <v>8</v>
      </c>
      <c r="D472" s="330"/>
      <c r="E472" s="330"/>
      <c r="F472" s="330"/>
      <c r="G472" s="330"/>
      <c r="H472" s="23">
        <f>SUM(H473)</f>
        <v>26389</v>
      </c>
      <c r="I472" s="23">
        <f>SUM(I473)</f>
        <v>0</v>
      </c>
      <c r="J472" s="23">
        <f>SUM(J473)</f>
        <v>26389</v>
      </c>
    </row>
    <row r="473" spans="3:10" s="26" customFormat="1" ht="11.25">
      <c r="C473" s="321" t="s">
        <v>11</v>
      </c>
      <c r="D473" s="321"/>
      <c r="E473" s="321"/>
      <c r="F473" s="321"/>
      <c r="G473" s="321"/>
      <c r="H473" s="25">
        <v>26389</v>
      </c>
      <c r="I473" s="25"/>
      <c r="J473" s="25">
        <f>SUM(H473:I473)</f>
        <v>26389</v>
      </c>
    </row>
    <row r="474" spans="3:10" s="26" customFormat="1" ht="11.25">
      <c r="C474" s="28"/>
      <c r="D474" s="297" t="s">
        <v>206</v>
      </c>
      <c r="E474" s="297"/>
      <c r="F474" s="297"/>
      <c r="G474" s="297"/>
      <c r="H474" s="41">
        <v>19460</v>
      </c>
      <c r="I474" s="41"/>
      <c r="J474" s="41">
        <f>SUM(H474:I474)</f>
        <v>19460</v>
      </c>
    </row>
    <row r="475" spans="3:10" s="26" customFormat="1" ht="10.5" customHeight="1">
      <c r="C475" s="28"/>
      <c r="D475" s="28"/>
      <c r="E475" s="28"/>
      <c r="F475" s="28"/>
      <c r="G475" s="28"/>
      <c r="H475" s="25"/>
      <c r="I475" s="25"/>
      <c r="J475" s="25"/>
    </row>
    <row r="476" spans="2:10" s="17" customFormat="1" ht="12">
      <c r="B476" s="18" t="s">
        <v>74</v>
      </c>
      <c r="C476" s="340" t="s">
        <v>90</v>
      </c>
      <c r="D476" s="340"/>
      <c r="E476" s="340"/>
      <c r="F476" s="340"/>
      <c r="G476" s="340"/>
      <c r="H476" s="19"/>
      <c r="I476" s="19"/>
      <c r="J476" s="19"/>
    </row>
    <row r="477" spans="2:10" s="20" customFormat="1" ht="10.5">
      <c r="B477" s="21"/>
      <c r="C477" s="330" t="s">
        <v>4</v>
      </c>
      <c r="D477" s="330"/>
      <c r="E477" s="330"/>
      <c r="F477" s="330"/>
      <c r="G477" s="330"/>
      <c r="H477" s="23">
        <f>H478</f>
        <v>185000</v>
      </c>
      <c r="I477" s="23">
        <f>I478</f>
        <v>0</v>
      </c>
      <c r="J477" s="23">
        <f>J478</f>
        <v>185000</v>
      </c>
    </row>
    <row r="478" spans="2:10" s="26" customFormat="1" ht="11.25">
      <c r="B478" s="27"/>
      <c r="C478" s="325" t="s">
        <v>6</v>
      </c>
      <c r="D478" s="325"/>
      <c r="E478" s="325"/>
      <c r="F478" s="325"/>
      <c r="G478" s="325"/>
      <c r="H478" s="25">
        <v>185000</v>
      </c>
      <c r="I478" s="25"/>
      <c r="J478" s="25">
        <f>SUM(H478:I478)</f>
        <v>185000</v>
      </c>
    </row>
    <row r="479" spans="2:10" s="20" customFormat="1" ht="10.5">
      <c r="B479" s="21"/>
      <c r="C479" s="330" t="s">
        <v>8</v>
      </c>
      <c r="D479" s="330"/>
      <c r="E479" s="330"/>
      <c r="F479" s="330"/>
      <c r="G479" s="330"/>
      <c r="H479" s="23">
        <f>H480</f>
        <v>185000</v>
      </c>
      <c r="I479" s="23">
        <f>I480</f>
        <v>0</v>
      </c>
      <c r="J479" s="23">
        <f>J480</f>
        <v>185000</v>
      </c>
    </row>
    <row r="480" spans="2:10" s="20" customFormat="1" ht="11.25">
      <c r="B480" s="21"/>
      <c r="C480" s="321" t="s">
        <v>9</v>
      </c>
      <c r="D480" s="321"/>
      <c r="E480" s="321"/>
      <c r="F480" s="321"/>
      <c r="G480" s="321"/>
      <c r="H480" s="25">
        <v>185000</v>
      </c>
      <c r="I480" s="25"/>
      <c r="J480" s="25">
        <f>SUM(H480:I480)</f>
        <v>185000</v>
      </c>
    </row>
    <row r="481" spans="2:10" s="20" customFormat="1" ht="9.75" customHeight="1">
      <c r="B481" s="21"/>
      <c r="C481" s="28"/>
      <c r="D481" s="28"/>
      <c r="E481" s="28"/>
      <c r="F481" s="28"/>
      <c r="G481" s="28"/>
      <c r="H481" s="25"/>
      <c r="I481" s="25"/>
      <c r="J481" s="25"/>
    </row>
    <row r="482" spans="2:10" s="60" customFormat="1" ht="24.75" customHeight="1">
      <c r="B482" s="54" t="s">
        <v>74</v>
      </c>
      <c r="C482" s="288" t="s">
        <v>91</v>
      </c>
      <c r="D482" s="288"/>
      <c r="E482" s="288"/>
      <c r="F482" s="288"/>
      <c r="G482" s="288"/>
      <c r="H482" s="62"/>
      <c r="I482" s="62"/>
      <c r="J482" s="62"/>
    </row>
    <row r="483" spans="2:10" s="26" customFormat="1" ht="11.25">
      <c r="B483" s="21"/>
      <c r="C483" s="330" t="s">
        <v>4</v>
      </c>
      <c r="D483" s="330"/>
      <c r="E483" s="330"/>
      <c r="F483" s="330"/>
      <c r="G483" s="330"/>
      <c r="H483" s="23">
        <f>SUM(H484+H485)</f>
        <v>13618</v>
      </c>
      <c r="I483" s="23">
        <f>SUM(I484+I485)</f>
        <v>0</v>
      </c>
      <c r="J483" s="23">
        <f>SUM(J484+J485)</f>
        <v>13618</v>
      </c>
    </row>
    <row r="484" spans="2:10" s="26" customFormat="1" ht="11.25">
      <c r="B484" s="21"/>
      <c r="C484" s="325" t="s">
        <v>5</v>
      </c>
      <c r="D484" s="325"/>
      <c r="E484" s="325"/>
      <c r="F484" s="325"/>
      <c r="G484" s="325"/>
      <c r="H484" s="25">
        <v>10108</v>
      </c>
      <c r="I484" s="25"/>
      <c r="J484" s="25">
        <f>SUM(H484:I484)</f>
        <v>10108</v>
      </c>
    </row>
    <row r="485" spans="2:10" s="84" customFormat="1" ht="11.25">
      <c r="B485" s="93"/>
      <c r="C485" s="325" t="s">
        <v>192</v>
      </c>
      <c r="D485" s="325"/>
      <c r="E485" s="325"/>
      <c r="F485" s="325"/>
      <c r="G485" s="325"/>
      <c r="H485" s="86">
        <v>3510</v>
      </c>
      <c r="I485" s="86"/>
      <c r="J485" s="25">
        <f>SUM(H485:I485)</f>
        <v>3510</v>
      </c>
    </row>
    <row r="486" spans="2:10" s="26" customFormat="1" ht="11.25">
      <c r="B486" s="21"/>
      <c r="C486" s="330" t="s">
        <v>8</v>
      </c>
      <c r="D486" s="330"/>
      <c r="E486" s="330"/>
      <c r="F486" s="330"/>
      <c r="G486" s="330"/>
      <c r="H486" s="23">
        <f>H487</f>
        <v>13618</v>
      </c>
      <c r="I486" s="23">
        <f>I487</f>
        <v>0</v>
      </c>
      <c r="J486" s="23">
        <f>J487</f>
        <v>13618</v>
      </c>
    </row>
    <row r="487" spans="2:10" s="26" customFormat="1" ht="11.25">
      <c r="B487" s="21"/>
      <c r="C487" s="321" t="s">
        <v>9</v>
      </c>
      <c r="D487" s="321"/>
      <c r="E487" s="321"/>
      <c r="F487" s="321"/>
      <c r="G487" s="321"/>
      <c r="H487" s="25">
        <v>13618</v>
      </c>
      <c r="I487" s="25"/>
      <c r="J487" s="25">
        <f>SUM(H487:I487)</f>
        <v>13618</v>
      </c>
    </row>
    <row r="488" spans="2:10" s="77" customFormat="1" ht="11.25">
      <c r="B488" s="90"/>
      <c r="C488" s="76"/>
      <c r="D488" s="297" t="s">
        <v>206</v>
      </c>
      <c r="E488" s="297"/>
      <c r="F488" s="297"/>
      <c r="G488" s="297"/>
      <c r="H488" s="41">
        <v>797</v>
      </c>
      <c r="I488" s="41"/>
      <c r="J488" s="41">
        <f>SUM(H488:I488)</f>
        <v>797</v>
      </c>
    </row>
    <row r="489" ht="10.5" customHeight="1"/>
    <row r="490" spans="2:10" s="26" customFormat="1" ht="12">
      <c r="B490" s="18" t="s">
        <v>81</v>
      </c>
      <c r="C490" s="340" t="s">
        <v>82</v>
      </c>
      <c r="D490" s="340"/>
      <c r="E490" s="340"/>
      <c r="F490" s="340"/>
      <c r="G490" s="340"/>
      <c r="H490" s="25"/>
      <c r="I490" s="25"/>
      <c r="J490" s="25"/>
    </row>
    <row r="491" spans="2:10" s="20" customFormat="1" ht="10.5">
      <c r="B491" s="21"/>
      <c r="C491" s="330" t="s">
        <v>4</v>
      </c>
      <c r="D491" s="330"/>
      <c r="E491" s="330"/>
      <c r="F491" s="330"/>
      <c r="G491" s="330"/>
      <c r="H491" s="23">
        <f>H492+H493+H494</f>
        <v>373918</v>
      </c>
      <c r="I491" s="23">
        <f>I492+I493+I494</f>
        <v>0</v>
      </c>
      <c r="J491" s="23">
        <f>J492+J493+J494</f>
        <v>373918</v>
      </c>
    </row>
    <row r="492" spans="2:10" s="20" customFormat="1" ht="11.25">
      <c r="B492" s="21"/>
      <c r="C492" s="325" t="s">
        <v>5</v>
      </c>
      <c r="D492" s="325"/>
      <c r="E492" s="325"/>
      <c r="F492" s="325"/>
      <c r="G492" s="325"/>
      <c r="H492" s="25">
        <v>1858</v>
      </c>
      <c r="I492" s="25"/>
      <c r="J492" s="25">
        <f>SUM(H492:I492)</f>
        <v>1858</v>
      </c>
    </row>
    <row r="493" spans="2:10" s="26" customFormat="1" ht="11.25">
      <c r="B493" s="27"/>
      <c r="C493" s="325" t="s">
        <v>6</v>
      </c>
      <c r="D493" s="325"/>
      <c r="E493" s="325"/>
      <c r="F493" s="325"/>
      <c r="G493" s="325"/>
      <c r="H493" s="25">
        <v>344857</v>
      </c>
      <c r="I493" s="25"/>
      <c r="J493" s="25">
        <f aca="true" t="shared" si="3" ref="J493:J498">SUM(H493:I493)</f>
        <v>344857</v>
      </c>
    </row>
    <row r="494" spans="2:10" s="26" customFormat="1" ht="11.25">
      <c r="B494" s="27"/>
      <c r="C494" s="325" t="s">
        <v>7</v>
      </c>
      <c r="D494" s="325"/>
      <c r="E494" s="325"/>
      <c r="F494" s="325"/>
      <c r="G494" s="325"/>
      <c r="H494" s="25">
        <v>27203</v>
      </c>
      <c r="I494" s="25"/>
      <c r="J494" s="25">
        <f t="shared" si="3"/>
        <v>27203</v>
      </c>
    </row>
    <row r="495" spans="2:10" s="20" customFormat="1" ht="10.5">
      <c r="B495" s="21"/>
      <c r="C495" s="330" t="s">
        <v>8</v>
      </c>
      <c r="D495" s="330"/>
      <c r="E495" s="330"/>
      <c r="F495" s="330"/>
      <c r="G495" s="330"/>
      <c r="H495" s="23">
        <f>H496+H498</f>
        <v>373918</v>
      </c>
      <c r="I495" s="23">
        <f>I496+I498</f>
        <v>0</v>
      </c>
      <c r="J495" s="23">
        <f>J496+J498</f>
        <v>373918</v>
      </c>
    </row>
    <row r="496" spans="3:10" s="26" customFormat="1" ht="11.25">
      <c r="C496" s="321" t="s">
        <v>11</v>
      </c>
      <c r="D496" s="321"/>
      <c r="E496" s="321"/>
      <c r="F496" s="321"/>
      <c r="G496" s="321"/>
      <c r="H496" s="25">
        <v>353688</v>
      </c>
      <c r="I496" s="25"/>
      <c r="J496" s="25">
        <f t="shared" si="3"/>
        <v>353688</v>
      </c>
    </row>
    <row r="497" spans="3:10" s="26" customFormat="1" ht="11.25">
      <c r="C497" s="28"/>
      <c r="D497" s="297" t="s">
        <v>206</v>
      </c>
      <c r="E497" s="297"/>
      <c r="F497" s="297"/>
      <c r="G497" s="297"/>
      <c r="H497" s="41">
        <v>165180</v>
      </c>
      <c r="I497" s="41"/>
      <c r="J497" s="41">
        <f>SUM(H497:I497)</f>
        <v>165180</v>
      </c>
    </row>
    <row r="498" spans="3:10" s="26" customFormat="1" ht="11.25">
      <c r="C498" s="321" t="s">
        <v>124</v>
      </c>
      <c r="D498" s="321"/>
      <c r="E498" s="321"/>
      <c r="F498" s="321"/>
      <c r="G498" s="321"/>
      <c r="H498" s="25">
        <v>20230</v>
      </c>
      <c r="I498" s="25"/>
      <c r="J498" s="25">
        <f t="shared" si="3"/>
        <v>20230</v>
      </c>
    </row>
    <row r="499" ht="9.75" customHeight="1"/>
    <row r="500" spans="2:10" s="17" customFormat="1" ht="12">
      <c r="B500" s="18" t="s">
        <v>69</v>
      </c>
      <c r="C500" s="340" t="s">
        <v>79</v>
      </c>
      <c r="D500" s="340"/>
      <c r="E500" s="340"/>
      <c r="F500" s="340"/>
      <c r="G500" s="340"/>
      <c r="H500" s="19"/>
      <c r="I500" s="19"/>
      <c r="J500" s="19"/>
    </row>
    <row r="501" spans="2:10" s="20" customFormat="1" ht="10.5">
      <c r="B501" s="21"/>
      <c r="C501" s="330" t="s">
        <v>4</v>
      </c>
      <c r="D501" s="330"/>
      <c r="E501" s="330"/>
      <c r="F501" s="330"/>
      <c r="G501" s="330"/>
      <c r="H501" s="23">
        <f>H502+H505+H506</f>
        <v>149568</v>
      </c>
      <c r="I501" s="23">
        <f>I502+I505+I506</f>
        <v>0</v>
      </c>
      <c r="J501" s="23">
        <f>J502+J505+J506</f>
        <v>149568</v>
      </c>
    </row>
    <row r="502" spans="2:10" s="20" customFormat="1" ht="11.25">
      <c r="B502" s="21"/>
      <c r="C502" s="325" t="s">
        <v>5</v>
      </c>
      <c r="D502" s="325"/>
      <c r="E502" s="325"/>
      <c r="F502" s="325"/>
      <c r="G502" s="325"/>
      <c r="H502" s="25">
        <f aca="true" t="shared" si="4" ref="H502:J504">SUM(H516)</f>
        <v>2480</v>
      </c>
      <c r="I502" s="25">
        <f t="shared" si="4"/>
        <v>0</v>
      </c>
      <c r="J502" s="25">
        <f t="shared" si="4"/>
        <v>2480</v>
      </c>
    </row>
    <row r="503" spans="2:10" s="20" customFormat="1" ht="11.25">
      <c r="B503" s="21"/>
      <c r="C503" s="332" t="s">
        <v>25</v>
      </c>
      <c r="D503" s="332"/>
      <c r="E503" s="332"/>
      <c r="F503" s="332"/>
      <c r="G503" s="332"/>
      <c r="H503" s="41">
        <f t="shared" si="4"/>
        <v>1500</v>
      </c>
      <c r="I503" s="41">
        <f t="shared" si="4"/>
        <v>0</v>
      </c>
      <c r="J503" s="41">
        <f t="shared" si="4"/>
        <v>1500</v>
      </c>
    </row>
    <row r="504" spans="2:10" s="20" customFormat="1" ht="11.25">
      <c r="B504" s="21"/>
      <c r="C504" s="332" t="s">
        <v>26</v>
      </c>
      <c r="D504" s="332"/>
      <c r="E504" s="332"/>
      <c r="F504" s="332"/>
      <c r="G504" s="332"/>
      <c r="H504" s="41">
        <f t="shared" si="4"/>
        <v>980</v>
      </c>
      <c r="I504" s="41">
        <f t="shared" si="4"/>
        <v>0</v>
      </c>
      <c r="J504" s="41">
        <f t="shared" si="4"/>
        <v>980</v>
      </c>
    </row>
    <row r="505" spans="2:10" s="26" customFormat="1" ht="11.25">
      <c r="B505" s="27"/>
      <c r="C505" s="325" t="s">
        <v>6</v>
      </c>
      <c r="D505" s="325"/>
      <c r="E505" s="325"/>
      <c r="F505" s="325"/>
      <c r="G505" s="325"/>
      <c r="H505" s="25">
        <f>SUM(H519+H528)</f>
        <v>142843</v>
      </c>
      <c r="I505" s="25">
        <f>SUM(I519+I528)</f>
        <v>0</v>
      </c>
      <c r="J505" s="25">
        <f>SUM(J519+J528)</f>
        <v>142843</v>
      </c>
    </row>
    <row r="506" spans="2:10" s="26" customFormat="1" ht="11.25">
      <c r="B506" s="27"/>
      <c r="C506" s="325" t="s">
        <v>7</v>
      </c>
      <c r="D506" s="325"/>
      <c r="E506" s="325"/>
      <c r="F506" s="325"/>
      <c r="G506" s="325"/>
      <c r="H506" s="25">
        <f>SUM(H520)</f>
        <v>4245</v>
      </c>
      <c r="I506" s="25">
        <f>SUM(I520)</f>
        <v>0</v>
      </c>
      <c r="J506" s="25">
        <f>SUM(J520)</f>
        <v>4245</v>
      </c>
    </row>
    <row r="507" spans="2:10" s="20" customFormat="1" ht="10.5">
      <c r="B507" s="21"/>
      <c r="C507" s="330" t="s">
        <v>8</v>
      </c>
      <c r="D507" s="330"/>
      <c r="E507" s="330"/>
      <c r="F507" s="330"/>
      <c r="G507" s="330"/>
      <c r="H507" s="23">
        <f>H508+H510</f>
        <v>149568</v>
      </c>
      <c r="I507" s="23">
        <f>I508+I510</f>
        <v>0</v>
      </c>
      <c r="J507" s="23">
        <f>J508+J510</f>
        <v>149568</v>
      </c>
    </row>
    <row r="508" spans="3:10" s="26" customFormat="1" ht="11.25">
      <c r="C508" s="321" t="s">
        <v>11</v>
      </c>
      <c r="D508" s="321"/>
      <c r="E508" s="321"/>
      <c r="F508" s="321"/>
      <c r="G508" s="321"/>
      <c r="H508" s="25">
        <f aca="true" t="shared" si="5" ref="H508:J509">SUM(H522+H530)</f>
        <v>147668</v>
      </c>
      <c r="I508" s="25">
        <f t="shared" si="5"/>
        <v>0</v>
      </c>
      <c r="J508" s="25">
        <f t="shared" si="5"/>
        <v>147668</v>
      </c>
    </row>
    <row r="509" spans="3:10" s="26" customFormat="1" ht="11.25">
      <c r="C509" s="28"/>
      <c r="D509" s="297" t="s">
        <v>206</v>
      </c>
      <c r="E509" s="297"/>
      <c r="F509" s="297"/>
      <c r="G509" s="297"/>
      <c r="H509" s="41">
        <f t="shared" si="5"/>
        <v>86198</v>
      </c>
      <c r="I509" s="41">
        <f t="shared" si="5"/>
        <v>0</v>
      </c>
      <c r="J509" s="41">
        <f t="shared" si="5"/>
        <v>86198</v>
      </c>
    </row>
    <row r="510" spans="3:10" s="26" customFormat="1" ht="11.25">
      <c r="C510" s="321" t="s">
        <v>12</v>
      </c>
      <c r="D510" s="321"/>
      <c r="E510" s="321"/>
      <c r="F510" s="321"/>
      <c r="G510" s="321"/>
      <c r="H510" s="30">
        <f>SUM(H524)</f>
        <v>1900</v>
      </c>
      <c r="I510" s="30">
        <f>SUM(I524)</f>
        <v>0</v>
      </c>
      <c r="J510" s="30">
        <f>SUM(J524)</f>
        <v>1900</v>
      </c>
    </row>
    <row r="511" spans="3:10" s="26" customFormat="1" ht="12" customHeight="1">
      <c r="C511" s="28"/>
      <c r="D511" s="28"/>
      <c r="E511" s="28"/>
      <c r="F511" s="28"/>
      <c r="G511" s="28"/>
      <c r="H511" s="30"/>
      <c r="I511" s="30"/>
      <c r="J511" s="30"/>
    </row>
    <row r="512" spans="2:10" s="6" customFormat="1" ht="50.25" customHeight="1">
      <c r="B512" s="7" t="s">
        <v>1</v>
      </c>
      <c r="C512" s="327" t="s">
        <v>2</v>
      </c>
      <c r="D512" s="327"/>
      <c r="E512" s="327"/>
      <c r="F512" s="327"/>
      <c r="G512" s="327"/>
      <c r="H512" s="8" t="s">
        <v>442</v>
      </c>
      <c r="I512" s="8" t="s">
        <v>440</v>
      </c>
      <c r="J512" s="8" t="s">
        <v>441</v>
      </c>
    </row>
    <row r="513" spans="3:10" s="26" customFormat="1" ht="7.5" customHeight="1">
      <c r="C513" s="28"/>
      <c r="D513" s="28"/>
      <c r="E513" s="28"/>
      <c r="F513" s="28"/>
      <c r="G513" s="28"/>
      <c r="H513" s="30"/>
      <c r="I513" s="30"/>
      <c r="J513" s="30"/>
    </row>
    <row r="514" spans="2:10" s="26" customFormat="1" ht="11.25">
      <c r="B514" s="27" t="s">
        <v>80</v>
      </c>
      <c r="C514" s="321" t="s">
        <v>79</v>
      </c>
      <c r="D514" s="321"/>
      <c r="E514" s="321"/>
      <c r="F514" s="321"/>
      <c r="G514" s="321"/>
      <c r="H514" s="25"/>
      <c r="I514" s="25"/>
      <c r="J514" s="25"/>
    </row>
    <row r="515" spans="2:10" s="20" customFormat="1" ht="10.5">
      <c r="B515" s="21"/>
      <c r="C515" s="330" t="s">
        <v>4</v>
      </c>
      <c r="D515" s="330"/>
      <c r="E515" s="330"/>
      <c r="F515" s="330"/>
      <c r="G515" s="330"/>
      <c r="H515" s="23">
        <f>SUM(H516+H519+H520)</f>
        <v>138129</v>
      </c>
      <c r="I515" s="23">
        <f>SUM(I516+I519+I520)</f>
        <v>0</v>
      </c>
      <c r="J515" s="23">
        <f>SUM(J516+J519+J520)</f>
        <v>138129</v>
      </c>
    </row>
    <row r="516" spans="2:10" s="20" customFormat="1" ht="11.25">
      <c r="B516" s="21"/>
      <c r="C516" s="325" t="s">
        <v>5</v>
      </c>
      <c r="D516" s="325"/>
      <c r="E516" s="325"/>
      <c r="F516" s="325"/>
      <c r="G516" s="325"/>
      <c r="H516" s="25">
        <f>SUM(H517+H518)</f>
        <v>2480</v>
      </c>
      <c r="I516" s="25"/>
      <c r="J516" s="25">
        <f>J517+J518</f>
        <v>2480</v>
      </c>
    </row>
    <row r="517" spans="2:10" s="20" customFormat="1" ht="11.25">
      <c r="B517" s="21"/>
      <c r="C517" s="332" t="s">
        <v>25</v>
      </c>
      <c r="D517" s="332"/>
      <c r="E517" s="332"/>
      <c r="F517" s="332"/>
      <c r="G517" s="332"/>
      <c r="H517" s="41">
        <f>1100+400</f>
        <v>1500</v>
      </c>
      <c r="I517" s="41"/>
      <c r="J517" s="41">
        <f>SUM(H517:I517)</f>
        <v>1500</v>
      </c>
    </row>
    <row r="518" spans="2:10" s="20" customFormat="1" ht="11.25">
      <c r="B518" s="21"/>
      <c r="C518" s="332" t="s">
        <v>26</v>
      </c>
      <c r="D518" s="332"/>
      <c r="E518" s="332"/>
      <c r="F518" s="332"/>
      <c r="G518" s="332"/>
      <c r="H518" s="41">
        <v>980</v>
      </c>
      <c r="I518" s="41"/>
      <c r="J518" s="41">
        <f>SUM(H518:I518)</f>
        <v>980</v>
      </c>
    </row>
    <row r="519" spans="2:10" s="26" customFormat="1" ht="11.25">
      <c r="B519" s="27"/>
      <c r="C519" s="325" t="s">
        <v>6</v>
      </c>
      <c r="D519" s="325"/>
      <c r="E519" s="325"/>
      <c r="F519" s="325"/>
      <c r="G519" s="325"/>
      <c r="H519" s="25">
        <v>131404</v>
      </c>
      <c r="I519" s="25"/>
      <c r="J519" s="25">
        <f>SUM(H519:I519)</f>
        <v>131404</v>
      </c>
    </row>
    <row r="520" spans="2:10" s="26" customFormat="1" ht="11.25">
      <c r="B520" s="27"/>
      <c r="C520" s="325" t="s">
        <v>7</v>
      </c>
      <c r="D520" s="325"/>
      <c r="E520" s="325"/>
      <c r="F520" s="325"/>
      <c r="G520" s="325"/>
      <c r="H520" s="25">
        <v>4245</v>
      </c>
      <c r="I520" s="25"/>
      <c r="J520" s="25">
        <f>SUM(H520:I520)</f>
        <v>4245</v>
      </c>
    </row>
    <row r="521" spans="2:10" s="20" customFormat="1" ht="10.5">
      <c r="B521" s="21"/>
      <c r="C521" s="330" t="s">
        <v>8</v>
      </c>
      <c r="D521" s="330"/>
      <c r="E521" s="330"/>
      <c r="F521" s="330"/>
      <c r="G521" s="330"/>
      <c r="H521" s="23">
        <f>SUM(H522+H524)</f>
        <v>138129</v>
      </c>
      <c r="I521" s="23">
        <f>SUM(I522+I524)</f>
        <v>0</v>
      </c>
      <c r="J521" s="23">
        <f>SUM(J522+J524)</f>
        <v>138129</v>
      </c>
    </row>
    <row r="522" spans="3:10" s="26" customFormat="1" ht="11.25">
      <c r="C522" s="321" t="s">
        <v>11</v>
      </c>
      <c r="D522" s="321"/>
      <c r="E522" s="321"/>
      <c r="F522" s="321"/>
      <c r="G522" s="321"/>
      <c r="H522" s="25">
        <v>136229</v>
      </c>
      <c r="I522" s="25"/>
      <c r="J522" s="25">
        <f>SUM(H522:I522)</f>
        <v>136229</v>
      </c>
    </row>
    <row r="523" spans="3:10" s="26" customFormat="1" ht="11.25">
      <c r="C523" s="28"/>
      <c r="D523" s="297" t="s">
        <v>206</v>
      </c>
      <c r="E523" s="297"/>
      <c r="F523" s="297"/>
      <c r="G523" s="297"/>
      <c r="H523" s="41">
        <f>81700+640+322</f>
        <v>82662</v>
      </c>
      <c r="I523" s="41"/>
      <c r="J523" s="41">
        <f>SUM(H523:I523)</f>
        <v>82662</v>
      </c>
    </row>
    <row r="524" spans="3:10" s="26" customFormat="1" ht="11.25">
      <c r="C524" s="321" t="s">
        <v>124</v>
      </c>
      <c r="D524" s="321"/>
      <c r="E524" s="321"/>
      <c r="F524" s="321"/>
      <c r="G524" s="321"/>
      <c r="H524" s="25">
        <v>1900</v>
      </c>
      <c r="I524" s="25"/>
      <c r="J524" s="25">
        <f>SUM(H524:I524)</f>
        <v>1900</v>
      </c>
    </row>
    <row r="525" spans="3:10" s="26" customFormat="1" ht="7.5" customHeight="1">
      <c r="C525" s="28"/>
      <c r="D525" s="28"/>
      <c r="E525" s="28"/>
      <c r="F525" s="28"/>
      <c r="G525" s="28"/>
      <c r="H525" s="25"/>
      <c r="I525" s="25"/>
      <c r="J525" s="25"/>
    </row>
    <row r="526" spans="2:10" s="6" customFormat="1" ht="24" customHeight="1">
      <c r="B526" s="57" t="s">
        <v>163</v>
      </c>
      <c r="C526" s="287" t="s">
        <v>78</v>
      </c>
      <c r="D526" s="287"/>
      <c r="E526" s="287"/>
      <c r="F526" s="287"/>
      <c r="G526" s="287"/>
      <c r="H526" s="56"/>
      <c r="I526" s="56"/>
      <c r="J526" s="56"/>
    </row>
    <row r="527" spans="2:10" s="20" customFormat="1" ht="10.5">
      <c r="B527" s="21"/>
      <c r="C527" s="330" t="s">
        <v>4</v>
      </c>
      <c r="D527" s="330"/>
      <c r="E527" s="330"/>
      <c r="F527" s="330"/>
      <c r="G527" s="330"/>
      <c r="H527" s="23">
        <f>H528</f>
        <v>11439</v>
      </c>
      <c r="I527" s="23">
        <f>I528</f>
        <v>0</v>
      </c>
      <c r="J527" s="23">
        <f>J528</f>
        <v>11439</v>
      </c>
    </row>
    <row r="528" spans="2:10" s="26" customFormat="1" ht="11.25">
      <c r="B528" s="27"/>
      <c r="C528" s="325" t="s">
        <v>6</v>
      </c>
      <c r="D528" s="325"/>
      <c r="E528" s="325"/>
      <c r="F528" s="325"/>
      <c r="G528" s="325"/>
      <c r="H528" s="25">
        <v>11439</v>
      </c>
      <c r="I528" s="25"/>
      <c r="J528" s="25">
        <f>SUM(H528:I528)</f>
        <v>11439</v>
      </c>
    </row>
    <row r="529" spans="2:10" s="20" customFormat="1" ht="10.5">
      <c r="B529" s="21"/>
      <c r="C529" s="330" t="s">
        <v>8</v>
      </c>
      <c r="D529" s="330"/>
      <c r="E529" s="330"/>
      <c r="F529" s="330"/>
      <c r="G529" s="330"/>
      <c r="H529" s="23">
        <f>H530</f>
        <v>11439</v>
      </c>
      <c r="I529" s="23">
        <f>I530</f>
        <v>0</v>
      </c>
      <c r="J529" s="23">
        <f>J530</f>
        <v>11439</v>
      </c>
    </row>
    <row r="530" spans="3:10" s="26" customFormat="1" ht="11.25">
      <c r="C530" s="321" t="s">
        <v>9</v>
      </c>
      <c r="D530" s="321"/>
      <c r="E530" s="321"/>
      <c r="F530" s="321"/>
      <c r="G530" s="321"/>
      <c r="H530" s="25">
        <v>11439</v>
      </c>
      <c r="I530" s="25"/>
      <c r="J530" s="25">
        <f>SUM(H530:I530)</f>
        <v>11439</v>
      </c>
    </row>
    <row r="531" spans="3:10" s="26" customFormat="1" ht="11.25">
      <c r="C531" s="28"/>
      <c r="D531" s="297" t="s">
        <v>206</v>
      </c>
      <c r="E531" s="297"/>
      <c r="F531" s="297"/>
      <c r="G531" s="297"/>
      <c r="H531" s="41">
        <v>3536</v>
      </c>
      <c r="I531" s="41"/>
      <c r="J531" s="41">
        <f>SUM(H531:I531)</f>
        <v>3536</v>
      </c>
    </row>
    <row r="532" spans="3:10" s="26" customFormat="1" ht="12" customHeight="1">
      <c r="C532" s="28"/>
      <c r="D532" s="28"/>
      <c r="E532" s="28"/>
      <c r="F532" s="28"/>
      <c r="G532" s="28"/>
      <c r="H532" s="25"/>
      <c r="I532" s="25"/>
      <c r="J532" s="25"/>
    </row>
    <row r="533" spans="2:10" s="17" customFormat="1" ht="12">
      <c r="B533" s="18" t="s">
        <v>69</v>
      </c>
      <c r="C533" s="340" t="s">
        <v>83</v>
      </c>
      <c r="D533" s="340"/>
      <c r="E533" s="340"/>
      <c r="F533" s="340"/>
      <c r="G533" s="340"/>
      <c r="H533" s="19"/>
      <c r="I533" s="19"/>
      <c r="J533" s="19"/>
    </row>
    <row r="534" spans="2:10" s="20" customFormat="1" ht="10.5">
      <c r="B534" s="21"/>
      <c r="C534" s="330" t="s">
        <v>4</v>
      </c>
      <c r="D534" s="330"/>
      <c r="E534" s="330"/>
      <c r="F534" s="330"/>
      <c r="G534" s="330"/>
      <c r="H534" s="23">
        <f>H535+H538+H540+H539</f>
        <v>536763</v>
      </c>
      <c r="I534" s="23">
        <f>I535+I538+I540+I539</f>
        <v>315000</v>
      </c>
      <c r="J534" s="23">
        <f>J535+J538+J540+J539</f>
        <v>851763</v>
      </c>
    </row>
    <row r="535" spans="2:10" s="20" customFormat="1" ht="11.25">
      <c r="B535" s="21"/>
      <c r="C535" s="325" t="s">
        <v>5</v>
      </c>
      <c r="D535" s="325"/>
      <c r="E535" s="325"/>
      <c r="F535" s="325"/>
      <c r="G535" s="325"/>
      <c r="H535" s="25">
        <f>H536+H537</f>
        <v>11797</v>
      </c>
      <c r="I535" s="25">
        <f>I536+I537</f>
        <v>0</v>
      </c>
      <c r="J535" s="25">
        <f>J536+J537</f>
        <v>11797</v>
      </c>
    </row>
    <row r="536" spans="2:10" s="20" customFormat="1" ht="11.25">
      <c r="B536" s="21"/>
      <c r="C536" s="332" t="s">
        <v>25</v>
      </c>
      <c r="D536" s="332"/>
      <c r="E536" s="332"/>
      <c r="F536" s="332"/>
      <c r="G536" s="332"/>
      <c r="H536" s="41">
        <f aca="true" t="shared" si="6" ref="H536:J537">H549</f>
        <v>765</v>
      </c>
      <c r="I536" s="41">
        <f t="shared" si="6"/>
        <v>0</v>
      </c>
      <c r="J536" s="41">
        <f t="shared" si="6"/>
        <v>765</v>
      </c>
    </row>
    <row r="537" spans="2:10" s="20" customFormat="1" ht="11.25">
      <c r="B537" s="21"/>
      <c r="C537" s="332" t="s">
        <v>26</v>
      </c>
      <c r="D537" s="332"/>
      <c r="E537" s="332"/>
      <c r="F537" s="332"/>
      <c r="G537" s="332"/>
      <c r="H537" s="41">
        <f t="shared" si="6"/>
        <v>11032</v>
      </c>
      <c r="I537" s="41">
        <f t="shared" si="6"/>
        <v>0</v>
      </c>
      <c r="J537" s="41">
        <f t="shared" si="6"/>
        <v>11032</v>
      </c>
    </row>
    <row r="538" spans="2:10" s="26" customFormat="1" ht="11.25">
      <c r="B538" s="27"/>
      <c r="C538" s="325" t="s">
        <v>84</v>
      </c>
      <c r="D538" s="325"/>
      <c r="E538" s="325"/>
      <c r="F538" s="325"/>
      <c r="G538" s="325"/>
      <c r="H538" s="25">
        <f>H551+H561</f>
        <v>342730</v>
      </c>
      <c r="I538" s="25">
        <f>I551+I561</f>
        <v>0</v>
      </c>
      <c r="J538" s="25">
        <f>J551+J561</f>
        <v>342730</v>
      </c>
    </row>
    <row r="539" spans="2:10" s="26" customFormat="1" ht="11.25">
      <c r="B539" s="27"/>
      <c r="C539" s="325" t="s">
        <v>27</v>
      </c>
      <c r="D539" s="341"/>
      <c r="E539" s="341"/>
      <c r="F539" s="341"/>
      <c r="G539" s="341"/>
      <c r="H539" s="25">
        <f aca="true" t="shared" si="7" ref="H539:J540">H552</f>
        <v>0</v>
      </c>
      <c r="I539" s="25">
        <f t="shared" si="7"/>
        <v>315000</v>
      </c>
      <c r="J539" s="25">
        <f t="shared" si="7"/>
        <v>315000</v>
      </c>
    </row>
    <row r="540" spans="2:10" s="26" customFormat="1" ht="11.25">
      <c r="B540" s="27"/>
      <c r="C540" s="325" t="s">
        <v>7</v>
      </c>
      <c r="D540" s="325"/>
      <c r="E540" s="325"/>
      <c r="F540" s="325"/>
      <c r="G540" s="325"/>
      <c r="H540" s="25">
        <f t="shared" si="7"/>
        <v>182236</v>
      </c>
      <c r="I540" s="25">
        <f t="shared" si="7"/>
        <v>0</v>
      </c>
      <c r="J540" s="25">
        <f t="shared" si="7"/>
        <v>182236</v>
      </c>
    </row>
    <row r="541" spans="2:10" s="20" customFormat="1" ht="10.5">
      <c r="B541" s="21"/>
      <c r="C541" s="330" t="s">
        <v>8</v>
      </c>
      <c r="D541" s="330"/>
      <c r="E541" s="330"/>
      <c r="F541" s="330"/>
      <c r="G541" s="330"/>
      <c r="H541" s="23">
        <f>H542+H544</f>
        <v>536763</v>
      </c>
      <c r="I541" s="23">
        <f>I542+I544</f>
        <v>315000</v>
      </c>
      <c r="J541" s="23">
        <f>J542+J544</f>
        <v>851763</v>
      </c>
    </row>
    <row r="542" spans="3:10" s="26" customFormat="1" ht="11.25">
      <c r="C542" s="321" t="s">
        <v>11</v>
      </c>
      <c r="D542" s="321"/>
      <c r="E542" s="321"/>
      <c r="F542" s="321"/>
      <c r="G542" s="321"/>
      <c r="H542" s="25">
        <f aca="true" t="shared" si="8" ref="H542:J544">H555+H563</f>
        <v>471425</v>
      </c>
      <c r="I542" s="25">
        <f t="shared" si="8"/>
        <v>165000</v>
      </c>
      <c r="J542" s="25">
        <f t="shared" si="8"/>
        <v>636425</v>
      </c>
    </row>
    <row r="543" spans="3:10" s="77" customFormat="1" ht="11.25">
      <c r="C543" s="76"/>
      <c r="D543" s="297" t="s">
        <v>206</v>
      </c>
      <c r="E543" s="297"/>
      <c r="F543" s="297"/>
      <c r="G543" s="297"/>
      <c r="H543" s="41">
        <f t="shared" si="8"/>
        <v>252860</v>
      </c>
      <c r="I543" s="41">
        <f t="shared" si="8"/>
        <v>0</v>
      </c>
      <c r="J543" s="41">
        <f t="shared" si="8"/>
        <v>252860</v>
      </c>
    </row>
    <row r="544" spans="3:10" s="26" customFormat="1" ht="11.25">
      <c r="C544" s="321" t="s">
        <v>124</v>
      </c>
      <c r="D544" s="321"/>
      <c r="E544" s="321"/>
      <c r="F544" s="321"/>
      <c r="G544" s="321"/>
      <c r="H544" s="25">
        <f t="shared" si="8"/>
        <v>65338</v>
      </c>
      <c r="I544" s="25">
        <f t="shared" si="8"/>
        <v>150000</v>
      </c>
      <c r="J544" s="25">
        <f t="shared" si="8"/>
        <v>215338</v>
      </c>
    </row>
    <row r="545" spans="3:10" s="26" customFormat="1" ht="6.75" customHeight="1">
      <c r="C545" s="28"/>
      <c r="D545" s="28"/>
      <c r="E545" s="28"/>
      <c r="F545" s="28"/>
      <c r="G545" s="28"/>
      <c r="H545" s="25"/>
      <c r="I545" s="25"/>
      <c r="J545" s="25"/>
    </row>
    <row r="546" spans="2:10" s="26" customFormat="1" ht="11.25">
      <c r="B546" s="27" t="s">
        <v>85</v>
      </c>
      <c r="C546" s="321" t="s">
        <v>83</v>
      </c>
      <c r="D546" s="321"/>
      <c r="E546" s="321"/>
      <c r="F546" s="321"/>
      <c r="G546" s="321"/>
      <c r="H546" s="25"/>
      <c r="I546" s="25"/>
      <c r="J546" s="25"/>
    </row>
    <row r="547" spans="2:10" s="20" customFormat="1" ht="10.5">
      <c r="B547" s="21"/>
      <c r="C547" s="330" t="s">
        <v>4</v>
      </c>
      <c r="D547" s="330"/>
      <c r="E547" s="330"/>
      <c r="F547" s="330"/>
      <c r="G547" s="330"/>
      <c r="H547" s="23">
        <f>H548+H551+H553+H552</f>
        <v>476566</v>
      </c>
      <c r="I547" s="23">
        <f>I548+I551+I553+I552</f>
        <v>315000</v>
      </c>
      <c r="J547" s="23">
        <f>J548+J551+J553+J552</f>
        <v>791566</v>
      </c>
    </row>
    <row r="548" spans="2:10" s="20" customFormat="1" ht="11.25">
      <c r="B548" s="21"/>
      <c r="C548" s="325" t="s">
        <v>5</v>
      </c>
      <c r="D548" s="325"/>
      <c r="E548" s="325"/>
      <c r="F548" s="325"/>
      <c r="G548" s="325"/>
      <c r="H548" s="25">
        <f>H549+H550</f>
        <v>11797</v>
      </c>
      <c r="I548" s="25"/>
      <c r="J548" s="25">
        <f>J549+J550</f>
        <v>11797</v>
      </c>
    </row>
    <row r="549" spans="2:10" s="20" customFormat="1" ht="11.25">
      <c r="B549" s="21"/>
      <c r="C549" s="332" t="s">
        <v>25</v>
      </c>
      <c r="D549" s="332"/>
      <c r="E549" s="332"/>
      <c r="F549" s="332"/>
      <c r="G549" s="332"/>
      <c r="H549" s="41">
        <v>765</v>
      </c>
      <c r="I549" s="41"/>
      <c r="J549" s="41">
        <f>SUM(H549:I549)</f>
        <v>765</v>
      </c>
    </row>
    <row r="550" spans="2:10" s="20" customFormat="1" ht="11.25">
      <c r="B550" s="21"/>
      <c r="C550" s="332" t="s">
        <v>26</v>
      </c>
      <c r="D550" s="332"/>
      <c r="E550" s="332"/>
      <c r="F550" s="332"/>
      <c r="G550" s="332"/>
      <c r="H550" s="41">
        <v>11032</v>
      </c>
      <c r="I550" s="41"/>
      <c r="J550" s="41">
        <f>SUM(H550:I550)</f>
        <v>11032</v>
      </c>
    </row>
    <row r="551" spans="2:10" s="26" customFormat="1" ht="11.25">
      <c r="B551" s="27"/>
      <c r="C551" s="325" t="s">
        <v>6</v>
      </c>
      <c r="D551" s="325"/>
      <c r="E551" s="325"/>
      <c r="F551" s="325"/>
      <c r="G551" s="325"/>
      <c r="H551" s="25">
        <v>282533</v>
      </c>
      <c r="I551" s="25"/>
      <c r="J551" s="25">
        <f>SUM(H551:I551)</f>
        <v>282533</v>
      </c>
    </row>
    <row r="552" spans="2:10" s="26" customFormat="1" ht="11.25">
      <c r="B552" s="27"/>
      <c r="C552" s="325" t="s">
        <v>27</v>
      </c>
      <c r="D552" s="341"/>
      <c r="E552" s="341"/>
      <c r="F552" s="341"/>
      <c r="G552" s="341"/>
      <c r="H552" s="25">
        <v>0</v>
      </c>
      <c r="I552" s="25">
        <f>300000+15000</f>
        <v>315000</v>
      </c>
      <c r="J552" s="25">
        <f>SUM(H552:I552)</f>
        <v>315000</v>
      </c>
    </row>
    <row r="553" spans="2:10" s="26" customFormat="1" ht="11.25">
      <c r="B553" s="27"/>
      <c r="C553" s="325" t="s">
        <v>7</v>
      </c>
      <c r="D553" s="325"/>
      <c r="E553" s="325"/>
      <c r="F553" s="325"/>
      <c r="G553" s="325"/>
      <c r="H553" s="25">
        <v>182236</v>
      </c>
      <c r="I553" s="25"/>
      <c r="J553" s="25">
        <f>SUM(H553:I553)</f>
        <v>182236</v>
      </c>
    </row>
    <row r="554" spans="2:10" s="20" customFormat="1" ht="10.5">
      <c r="B554" s="21"/>
      <c r="C554" s="330" t="s">
        <v>8</v>
      </c>
      <c r="D554" s="330"/>
      <c r="E554" s="330"/>
      <c r="F554" s="330"/>
      <c r="G554" s="330"/>
      <c r="H554" s="23">
        <f>H555+H557</f>
        <v>476566</v>
      </c>
      <c r="I554" s="23">
        <f>I555+I557</f>
        <v>315000</v>
      </c>
      <c r="J554" s="23">
        <f>J555+J557</f>
        <v>791566</v>
      </c>
    </row>
    <row r="555" spans="3:10" s="26" customFormat="1" ht="11.25">
      <c r="C555" s="321" t="s">
        <v>11</v>
      </c>
      <c r="D555" s="321"/>
      <c r="E555" s="321"/>
      <c r="F555" s="321"/>
      <c r="G555" s="321"/>
      <c r="H555" s="25">
        <v>418697</v>
      </c>
      <c r="I555" s="25">
        <f>150000+15000</f>
        <v>165000</v>
      </c>
      <c r="J555" s="25">
        <f>SUM(H555:I555)</f>
        <v>583697</v>
      </c>
    </row>
    <row r="556" spans="3:10" s="77" customFormat="1" ht="11.25">
      <c r="C556" s="76"/>
      <c r="D556" s="297" t="s">
        <v>206</v>
      </c>
      <c r="E556" s="297"/>
      <c r="F556" s="297"/>
      <c r="G556" s="297"/>
      <c r="H556" s="41">
        <f>166319+44650+44</f>
        <v>211013</v>
      </c>
      <c r="I556" s="41"/>
      <c r="J556" s="41">
        <f>SUM(H556:I556)</f>
        <v>211013</v>
      </c>
    </row>
    <row r="557" spans="3:10" s="26" customFormat="1" ht="11.25">
      <c r="C557" s="321" t="s">
        <v>124</v>
      </c>
      <c r="D557" s="321"/>
      <c r="E557" s="321"/>
      <c r="F557" s="321"/>
      <c r="G557" s="321"/>
      <c r="H557" s="25">
        <v>57869</v>
      </c>
      <c r="I557" s="25">
        <v>150000</v>
      </c>
      <c r="J557" s="25">
        <f>SUM(H557:I557)</f>
        <v>207869</v>
      </c>
    </row>
    <row r="558" spans="3:10" s="26" customFormat="1" ht="5.25" customHeight="1">
      <c r="C558" s="28"/>
      <c r="D558" s="28"/>
      <c r="E558" s="28"/>
      <c r="F558" s="28"/>
      <c r="G558" s="28"/>
      <c r="H558" s="25"/>
      <c r="I558" s="25"/>
      <c r="J558" s="25"/>
    </row>
    <row r="559" spans="2:10" s="33" customFormat="1" ht="23.25" customHeight="1">
      <c r="B559" s="51" t="s">
        <v>163</v>
      </c>
      <c r="C559" s="302" t="s">
        <v>78</v>
      </c>
      <c r="D559" s="302"/>
      <c r="E559" s="302"/>
      <c r="F559" s="302"/>
      <c r="G559" s="302"/>
      <c r="H559" s="52"/>
      <c r="I559" s="52"/>
      <c r="J559" s="52"/>
    </row>
    <row r="560" spans="2:10" s="20" customFormat="1" ht="10.5">
      <c r="B560" s="21"/>
      <c r="C560" s="330" t="s">
        <v>4</v>
      </c>
      <c r="D560" s="330"/>
      <c r="E560" s="330"/>
      <c r="F560" s="330"/>
      <c r="G560" s="330"/>
      <c r="H560" s="23">
        <f>H561</f>
        <v>60197</v>
      </c>
      <c r="I560" s="23">
        <f>I561</f>
        <v>0</v>
      </c>
      <c r="J560" s="23">
        <f>J561</f>
        <v>60197</v>
      </c>
    </row>
    <row r="561" spans="2:10" s="26" customFormat="1" ht="11.25">
      <c r="B561" s="27"/>
      <c r="C561" s="325" t="s">
        <v>6</v>
      </c>
      <c r="D561" s="325"/>
      <c r="E561" s="325"/>
      <c r="F561" s="325"/>
      <c r="G561" s="325"/>
      <c r="H561" s="25">
        <v>60197</v>
      </c>
      <c r="I561" s="25"/>
      <c r="J561" s="25">
        <f>SUM(H561:I561)</f>
        <v>60197</v>
      </c>
    </row>
    <row r="562" spans="2:10" s="20" customFormat="1" ht="10.5">
      <c r="B562" s="21"/>
      <c r="C562" s="330" t="s">
        <v>8</v>
      </c>
      <c r="D562" s="330"/>
      <c r="E562" s="330"/>
      <c r="F562" s="330"/>
      <c r="G562" s="330"/>
      <c r="H562" s="23">
        <f>H563+H565</f>
        <v>60197</v>
      </c>
      <c r="I562" s="23">
        <f>I563+I565</f>
        <v>0</v>
      </c>
      <c r="J562" s="23">
        <f>J563+J565</f>
        <v>60197</v>
      </c>
    </row>
    <row r="563" spans="3:10" s="26" customFormat="1" ht="11.25">
      <c r="C563" s="321" t="s">
        <v>11</v>
      </c>
      <c r="D563" s="321"/>
      <c r="E563" s="321"/>
      <c r="F563" s="321"/>
      <c r="G563" s="321"/>
      <c r="H563" s="25">
        <v>52728</v>
      </c>
      <c r="I563" s="25"/>
      <c r="J563" s="25">
        <f>SUM(H563:I563)</f>
        <v>52728</v>
      </c>
    </row>
    <row r="564" spans="3:10" s="77" customFormat="1" ht="11.25">
      <c r="C564" s="76"/>
      <c r="D564" s="297" t="s">
        <v>206</v>
      </c>
      <c r="E564" s="297"/>
      <c r="F564" s="297"/>
      <c r="G564" s="297"/>
      <c r="H564" s="41">
        <v>41847</v>
      </c>
      <c r="I564" s="41"/>
      <c r="J564" s="41">
        <f>SUM(H564:I564)</f>
        <v>41847</v>
      </c>
    </row>
    <row r="565" spans="3:10" s="26" customFormat="1" ht="11.25">
      <c r="C565" s="321" t="s">
        <v>124</v>
      </c>
      <c r="D565" s="321"/>
      <c r="E565" s="321"/>
      <c r="F565" s="321"/>
      <c r="G565" s="321"/>
      <c r="H565" s="25">
        <v>7469</v>
      </c>
      <c r="I565" s="25"/>
      <c r="J565" s="25">
        <f>SUM(H565:I565)</f>
        <v>7469</v>
      </c>
    </row>
    <row r="566" spans="3:10" s="26" customFormat="1" ht="8.25" customHeight="1">
      <c r="C566" s="28"/>
      <c r="D566" s="28"/>
      <c r="E566" s="28"/>
      <c r="F566" s="28"/>
      <c r="G566" s="28"/>
      <c r="H566" s="25"/>
      <c r="I566" s="25"/>
      <c r="J566" s="25"/>
    </row>
    <row r="567" spans="2:10" s="60" customFormat="1" ht="12.75" customHeight="1">
      <c r="B567" s="54" t="s">
        <v>69</v>
      </c>
      <c r="C567" s="55" t="s">
        <v>88</v>
      </c>
      <c r="D567" s="61"/>
      <c r="E567" s="61"/>
      <c r="F567" s="61"/>
      <c r="G567" s="61"/>
      <c r="H567" s="62"/>
      <c r="I567" s="62"/>
      <c r="J567" s="62"/>
    </row>
    <row r="568" spans="2:10" s="20" customFormat="1" ht="13.5" customHeight="1">
      <c r="B568" s="21"/>
      <c r="C568" s="330" t="s">
        <v>4</v>
      </c>
      <c r="D568" s="330"/>
      <c r="E568" s="330"/>
      <c r="F568" s="330"/>
      <c r="G568" s="330"/>
      <c r="H568" s="23">
        <f>H569</f>
        <v>88840</v>
      </c>
      <c r="I568" s="23">
        <f>I569</f>
        <v>0</v>
      </c>
      <c r="J568" s="23">
        <f>J569</f>
        <v>88840</v>
      </c>
    </row>
    <row r="569" spans="2:10" s="26" customFormat="1" ht="11.25">
      <c r="B569" s="27"/>
      <c r="C569" s="325" t="s">
        <v>6</v>
      </c>
      <c r="D569" s="325"/>
      <c r="E569" s="325"/>
      <c r="F569" s="325"/>
      <c r="G569" s="325"/>
      <c r="H569" s="25">
        <f>H576+H585</f>
        <v>88840</v>
      </c>
      <c r="I569" s="25">
        <f>I576+I585</f>
        <v>0</v>
      </c>
      <c r="J569" s="25">
        <f>J576+J585</f>
        <v>88840</v>
      </c>
    </row>
    <row r="570" spans="2:10" s="20" customFormat="1" ht="10.5">
      <c r="B570" s="21"/>
      <c r="C570" s="330" t="s">
        <v>8</v>
      </c>
      <c r="D570" s="330"/>
      <c r="E570" s="330"/>
      <c r="F570" s="330"/>
      <c r="G570" s="330"/>
      <c r="H570" s="23">
        <f>H571</f>
        <v>88840</v>
      </c>
      <c r="I570" s="23">
        <f>I571</f>
        <v>0</v>
      </c>
      <c r="J570" s="23">
        <f>J571</f>
        <v>88840</v>
      </c>
    </row>
    <row r="571" spans="3:10" s="26" customFormat="1" ht="11.25">
      <c r="C571" s="321" t="s">
        <v>11</v>
      </c>
      <c r="D571" s="321"/>
      <c r="E571" s="321"/>
      <c r="F571" s="321"/>
      <c r="G571" s="321"/>
      <c r="H571" s="25">
        <f aca="true" t="shared" si="9" ref="H571:J572">H578+H587</f>
        <v>88840</v>
      </c>
      <c r="I571" s="25">
        <f t="shared" si="9"/>
        <v>0</v>
      </c>
      <c r="J571" s="25">
        <f t="shared" si="9"/>
        <v>88840</v>
      </c>
    </row>
    <row r="572" spans="3:10" s="77" customFormat="1" ht="11.25">
      <c r="C572" s="76"/>
      <c r="D572" s="297" t="s">
        <v>206</v>
      </c>
      <c r="E572" s="297"/>
      <c r="F572" s="297"/>
      <c r="G572" s="297"/>
      <c r="H572" s="41">
        <f t="shared" si="9"/>
        <v>45789</v>
      </c>
      <c r="I572" s="41">
        <f t="shared" si="9"/>
        <v>0</v>
      </c>
      <c r="J572" s="41">
        <f t="shared" si="9"/>
        <v>45789</v>
      </c>
    </row>
    <row r="573" spans="3:10" s="26" customFormat="1" ht="8.25" customHeight="1">
      <c r="C573" s="28"/>
      <c r="D573" s="28"/>
      <c r="E573" s="28"/>
      <c r="F573" s="28"/>
      <c r="G573" s="28"/>
      <c r="H573" s="25"/>
      <c r="I573" s="25"/>
      <c r="J573" s="25"/>
    </row>
    <row r="574" spans="2:10" s="26" customFormat="1" ht="11.25">
      <c r="B574" s="27" t="s">
        <v>85</v>
      </c>
      <c r="C574" s="321" t="s">
        <v>88</v>
      </c>
      <c r="D574" s="321"/>
      <c r="E574" s="321"/>
      <c r="F574" s="321"/>
      <c r="G574" s="321"/>
      <c r="H574" s="25"/>
      <c r="I574" s="25"/>
      <c r="J574" s="25"/>
    </row>
    <row r="575" spans="2:10" s="20" customFormat="1" ht="10.5">
      <c r="B575" s="21"/>
      <c r="C575" s="330" t="s">
        <v>4</v>
      </c>
      <c r="D575" s="330"/>
      <c r="E575" s="330"/>
      <c r="F575" s="330"/>
      <c r="G575" s="330"/>
      <c r="H575" s="23">
        <f>H576</f>
        <v>80147</v>
      </c>
      <c r="I575" s="23">
        <f>I576</f>
        <v>0</v>
      </c>
      <c r="J575" s="23">
        <f>J576</f>
        <v>80147</v>
      </c>
    </row>
    <row r="576" spans="2:10" s="26" customFormat="1" ht="11.25">
      <c r="B576" s="27"/>
      <c r="C576" s="325" t="s">
        <v>6</v>
      </c>
      <c r="D576" s="325"/>
      <c r="E576" s="325"/>
      <c r="F576" s="325"/>
      <c r="G576" s="325"/>
      <c r="H576" s="25">
        <v>80147</v>
      </c>
      <c r="I576" s="25"/>
      <c r="J576" s="25">
        <f>SUM(H576:I576)</f>
        <v>80147</v>
      </c>
    </row>
    <row r="577" spans="2:10" s="20" customFormat="1" ht="10.5">
      <c r="B577" s="21"/>
      <c r="C577" s="330" t="s">
        <v>8</v>
      </c>
      <c r="D577" s="330"/>
      <c r="E577" s="330"/>
      <c r="F577" s="330"/>
      <c r="G577" s="330"/>
      <c r="H577" s="23">
        <f>H578</f>
        <v>80147</v>
      </c>
      <c r="I577" s="23">
        <f>I578</f>
        <v>0</v>
      </c>
      <c r="J577" s="23">
        <f>J578</f>
        <v>80147</v>
      </c>
    </row>
    <row r="578" spans="3:10" s="26" customFormat="1" ht="11.25">
      <c r="C578" s="321" t="s">
        <v>11</v>
      </c>
      <c r="D578" s="321"/>
      <c r="E578" s="321"/>
      <c r="F578" s="321"/>
      <c r="G578" s="321"/>
      <c r="H578" s="25">
        <v>80147</v>
      </c>
      <c r="I578" s="25"/>
      <c r="J578" s="25">
        <f>SUM(H578:I578)</f>
        <v>80147</v>
      </c>
    </row>
    <row r="579" spans="3:10" s="77" customFormat="1" ht="11.25">
      <c r="C579" s="76"/>
      <c r="D579" s="297" t="s">
        <v>206</v>
      </c>
      <c r="E579" s="297"/>
      <c r="F579" s="297"/>
      <c r="G579" s="297"/>
      <c r="H579" s="41">
        <v>45054</v>
      </c>
      <c r="I579" s="41"/>
      <c r="J579" s="41">
        <f>SUM(H579:I579)</f>
        <v>45054</v>
      </c>
    </row>
    <row r="580" spans="3:10" s="77" customFormat="1" ht="11.25">
      <c r="C580" s="76"/>
      <c r="D580" s="76"/>
      <c r="E580" s="76"/>
      <c r="F580" s="76"/>
      <c r="G580" s="76"/>
      <c r="H580" s="41"/>
      <c r="I580" s="41"/>
      <c r="J580" s="41"/>
    </row>
    <row r="581" spans="2:10" s="6" customFormat="1" ht="50.25" customHeight="1">
      <c r="B581" s="7" t="s">
        <v>1</v>
      </c>
      <c r="C581" s="327" t="s">
        <v>2</v>
      </c>
      <c r="D581" s="327"/>
      <c r="E581" s="327"/>
      <c r="F581" s="327"/>
      <c r="G581" s="327"/>
      <c r="H581" s="8" t="s">
        <v>442</v>
      </c>
      <c r="I581" s="8" t="s">
        <v>440</v>
      </c>
      <c r="J581" s="8" t="s">
        <v>441</v>
      </c>
    </row>
    <row r="582" spans="3:10" s="26" customFormat="1" ht="9" customHeight="1">
      <c r="C582" s="28"/>
      <c r="D582" s="28"/>
      <c r="E582" s="28"/>
      <c r="F582" s="28"/>
      <c r="G582" s="28"/>
      <c r="H582" s="63"/>
      <c r="I582" s="63"/>
      <c r="J582" s="63"/>
    </row>
    <row r="583" spans="2:10" s="26" customFormat="1" ht="11.25">
      <c r="B583" s="27" t="s">
        <v>163</v>
      </c>
      <c r="C583" s="321" t="s">
        <v>77</v>
      </c>
      <c r="D583" s="321"/>
      <c r="E583" s="321"/>
      <c r="F583" s="321"/>
      <c r="G583" s="321"/>
      <c r="H583" s="25"/>
      <c r="I583" s="25"/>
      <c r="J583" s="25"/>
    </row>
    <row r="584" spans="2:10" s="20" customFormat="1" ht="10.5">
      <c r="B584" s="21"/>
      <c r="C584" s="330" t="s">
        <v>4</v>
      </c>
      <c r="D584" s="330"/>
      <c r="E584" s="330"/>
      <c r="F584" s="330"/>
      <c r="G584" s="330"/>
      <c r="H584" s="23">
        <f>H585</f>
        <v>8693</v>
      </c>
      <c r="I584" s="23">
        <f>I585</f>
        <v>0</v>
      </c>
      <c r="J584" s="23">
        <f>J585</f>
        <v>8693</v>
      </c>
    </row>
    <row r="585" spans="2:10" s="26" customFormat="1" ht="11.25">
      <c r="B585" s="27"/>
      <c r="C585" s="325" t="s">
        <v>6</v>
      </c>
      <c r="D585" s="325"/>
      <c r="E585" s="325"/>
      <c r="F585" s="325"/>
      <c r="G585" s="325"/>
      <c r="H585" s="25">
        <v>8693</v>
      </c>
      <c r="I585" s="25"/>
      <c r="J585" s="25">
        <f>SUM(H585:I585)</f>
        <v>8693</v>
      </c>
    </row>
    <row r="586" spans="2:10" s="20" customFormat="1" ht="10.5">
      <c r="B586" s="21"/>
      <c r="C586" s="330" t="s">
        <v>8</v>
      </c>
      <c r="D586" s="330"/>
      <c r="E586" s="330"/>
      <c r="F586" s="330"/>
      <c r="G586" s="330"/>
      <c r="H586" s="23">
        <f>H587</f>
        <v>8693</v>
      </c>
      <c r="I586" s="23">
        <f>I587</f>
        <v>0</v>
      </c>
      <c r="J586" s="23">
        <f>J587</f>
        <v>8693</v>
      </c>
    </row>
    <row r="587" spans="3:10" s="26" customFormat="1" ht="11.25">
      <c r="C587" s="321" t="s">
        <v>11</v>
      </c>
      <c r="D587" s="321"/>
      <c r="E587" s="321"/>
      <c r="F587" s="321"/>
      <c r="G587" s="321"/>
      <c r="H587" s="25">
        <v>8693</v>
      </c>
      <c r="I587" s="25"/>
      <c r="J587" s="25">
        <f>SUM(H587:I587)</f>
        <v>8693</v>
      </c>
    </row>
    <row r="588" spans="3:10" s="77" customFormat="1" ht="11.25">
      <c r="C588" s="76"/>
      <c r="D588" s="297" t="s">
        <v>206</v>
      </c>
      <c r="E588" s="297"/>
      <c r="F588" s="297"/>
      <c r="G588" s="297"/>
      <c r="H588" s="41">
        <v>735</v>
      </c>
      <c r="I588" s="41"/>
      <c r="J588" s="41">
        <f>SUM(H588:I588)</f>
        <v>735</v>
      </c>
    </row>
    <row r="589" spans="3:10" s="26" customFormat="1" ht="8.25" customHeight="1">
      <c r="C589" s="28"/>
      <c r="D589" s="28"/>
      <c r="E589" s="28"/>
      <c r="F589" s="28"/>
      <c r="G589" s="28"/>
      <c r="H589" s="25"/>
      <c r="I589" s="25"/>
      <c r="J589" s="25"/>
    </row>
    <row r="590" spans="2:10" s="17" customFormat="1" ht="12">
      <c r="B590" s="18" t="s">
        <v>85</v>
      </c>
      <c r="C590" s="340" t="s">
        <v>86</v>
      </c>
      <c r="D590" s="340"/>
      <c r="E590" s="340"/>
      <c r="F590" s="340"/>
      <c r="G590" s="340"/>
      <c r="H590" s="19"/>
      <c r="I590" s="19"/>
      <c r="J590" s="19"/>
    </row>
    <row r="591" spans="2:10" s="20" customFormat="1" ht="10.5">
      <c r="B591" s="21"/>
      <c r="C591" s="330" t="s">
        <v>4</v>
      </c>
      <c r="D591" s="330"/>
      <c r="E591" s="330"/>
      <c r="F591" s="330"/>
      <c r="G591" s="330"/>
      <c r="H591" s="23">
        <f>H592</f>
        <v>32126</v>
      </c>
      <c r="I591" s="23">
        <f>I592</f>
        <v>0</v>
      </c>
      <c r="J591" s="23">
        <f>J592</f>
        <v>32126</v>
      </c>
    </row>
    <row r="592" spans="2:10" s="26" customFormat="1" ht="11.25">
      <c r="B592" s="27"/>
      <c r="C592" s="325" t="s">
        <v>6</v>
      </c>
      <c r="D592" s="325"/>
      <c r="E592" s="325"/>
      <c r="F592" s="325"/>
      <c r="G592" s="325"/>
      <c r="H592" s="25">
        <v>32126</v>
      </c>
      <c r="I592" s="25"/>
      <c r="J592" s="25">
        <f>SUM(H592:I592)</f>
        <v>32126</v>
      </c>
    </row>
    <row r="593" spans="2:10" s="20" customFormat="1" ht="10.5">
      <c r="B593" s="21"/>
      <c r="C593" s="330" t="s">
        <v>8</v>
      </c>
      <c r="D593" s="330"/>
      <c r="E593" s="330"/>
      <c r="F593" s="330"/>
      <c r="G593" s="330"/>
      <c r="H593" s="23">
        <f>H594</f>
        <v>32126</v>
      </c>
      <c r="I593" s="23">
        <f>I594</f>
        <v>0</v>
      </c>
      <c r="J593" s="23">
        <f>J594</f>
        <v>32126</v>
      </c>
    </row>
    <row r="594" spans="3:10" s="26" customFormat="1" ht="11.25">
      <c r="C594" s="321" t="s">
        <v>11</v>
      </c>
      <c r="D594" s="321"/>
      <c r="E594" s="321"/>
      <c r="F594" s="321"/>
      <c r="G594" s="321"/>
      <c r="H594" s="25">
        <v>32126</v>
      </c>
      <c r="I594" s="25"/>
      <c r="J594" s="25">
        <f>SUM(H594:I594)</f>
        <v>32126</v>
      </c>
    </row>
    <row r="595" spans="3:10" s="77" customFormat="1" ht="11.25">
      <c r="C595" s="76"/>
      <c r="D595" s="297" t="s">
        <v>206</v>
      </c>
      <c r="E595" s="297"/>
      <c r="F595" s="297"/>
      <c r="G595" s="297"/>
      <c r="H595" s="41">
        <v>19967</v>
      </c>
      <c r="I595" s="41"/>
      <c r="J595" s="41">
        <f>SUM(H595:I595)</f>
        <v>19967</v>
      </c>
    </row>
    <row r="596" spans="3:10" s="26" customFormat="1" ht="8.25" customHeight="1">
      <c r="C596" s="28"/>
      <c r="D596" s="28"/>
      <c r="E596" s="28"/>
      <c r="F596" s="28"/>
      <c r="G596" s="28"/>
      <c r="H596" s="25"/>
      <c r="I596" s="25"/>
      <c r="J596" s="25"/>
    </row>
    <row r="597" spans="2:10" s="17" customFormat="1" ht="12.75" customHeight="1">
      <c r="B597" s="18" t="s">
        <v>85</v>
      </c>
      <c r="C597" s="340" t="s">
        <v>87</v>
      </c>
      <c r="D597" s="340"/>
      <c r="E597" s="340"/>
      <c r="F597" s="340"/>
      <c r="G597" s="340"/>
      <c r="H597" s="19"/>
      <c r="I597" s="19"/>
      <c r="J597" s="19"/>
    </row>
    <row r="598" spans="2:10" s="20" customFormat="1" ht="10.5">
      <c r="B598" s="21"/>
      <c r="C598" s="330" t="s">
        <v>4</v>
      </c>
      <c r="D598" s="330"/>
      <c r="E598" s="330"/>
      <c r="F598" s="330"/>
      <c r="G598" s="330"/>
      <c r="H598" s="23">
        <f>H599</f>
        <v>24342</v>
      </c>
      <c r="I598" s="23">
        <f>I599</f>
        <v>0</v>
      </c>
      <c r="J598" s="23">
        <f>J599</f>
        <v>24342</v>
      </c>
    </row>
    <row r="599" spans="2:10" s="26" customFormat="1" ht="11.25">
      <c r="B599" s="27"/>
      <c r="C599" s="325" t="s">
        <v>6</v>
      </c>
      <c r="D599" s="325"/>
      <c r="E599" s="325"/>
      <c r="F599" s="325"/>
      <c r="G599" s="325"/>
      <c r="H599" s="25">
        <v>24342</v>
      </c>
      <c r="I599" s="25"/>
      <c r="J599" s="25">
        <f>SUM(H599:I599)</f>
        <v>24342</v>
      </c>
    </row>
    <row r="600" spans="2:10" s="20" customFormat="1" ht="10.5">
      <c r="B600" s="21"/>
      <c r="C600" s="330" t="s">
        <v>8</v>
      </c>
      <c r="D600" s="330"/>
      <c r="E600" s="330"/>
      <c r="F600" s="330"/>
      <c r="G600" s="330"/>
      <c r="H600" s="23">
        <f>H601+H603</f>
        <v>24342</v>
      </c>
      <c r="I600" s="23">
        <f>I601+I603</f>
        <v>0</v>
      </c>
      <c r="J600" s="23">
        <f>J601+J603</f>
        <v>24342</v>
      </c>
    </row>
    <row r="601" spans="3:10" s="26" customFormat="1" ht="11.25">
      <c r="C601" s="321" t="s">
        <v>11</v>
      </c>
      <c r="D601" s="321"/>
      <c r="E601" s="321"/>
      <c r="F601" s="321"/>
      <c r="G601" s="321"/>
      <c r="H601" s="25">
        <v>23732</v>
      </c>
      <c r="I601" s="25"/>
      <c r="J601" s="25">
        <f>SUM(H601:I601)</f>
        <v>23732</v>
      </c>
    </row>
    <row r="602" spans="3:10" s="77" customFormat="1" ht="11.25">
      <c r="C602" s="76"/>
      <c r="D602" s="297" t="s">
        <v>206</v>
      </c>
      <c r="E602" s="297"/>
      <c r="F602" s="297"/>
      <c r="G602" s="297"/>
      <c r="H602" s="41">
        <v>12122</v>
      </c>
      <c r="I602" s="41"/>
      <c r="J602" s="41">
        <f>SUM(H602:I602)</f>
        <v>12122</v>
      </c>
    </row>
    <row r="603" spans="3:10" s="26" customFormat="1" ht="11.25">
      <c r="C603" s="321" t="s">
        <v>124</v>
      </c>
      <c r="D603" s="321"/>
      <c r="E603" s="321"/>
      <c r="F603" s="321"/>
      <c r="G603" s="321"/>
      <c r="H603" s="25">
        <v>610</v>
      </c>
      <c r="I603" s="25"/>
      <c r="J603" s="25">
        <f>SUM(H603:I603)</f>
        <v>610</v>
      </c>
    </row>
    <row r="605" spans="2:10" s="17" customFormat="1" ht="12">
      <c r="B605" s="18" t="s">
        <v>85</v>
      </c>
      <c r="C605" s="340" t="s">
        <v>92</v>
      </c>
      <c r="D605" s="340"/>
      <c r="E605" s="340"/>
      <c r="F605" s="340"/>
      <c r="G605" s="340"/>
      <c r="H605" s="19"/>
      <c r="I605" s="19"/>
      <c r="J605" s="19"/>
    </row>
    <row r="606" spans="2:10" s="20" customFormat="1" ht="10.5">
      <c r="B606" s="21"/>
      <c r="C606" s="330" t="s">
        <v>4</v>
      </c>
      <c r="D606" s="330"/>
      <c r="E606" s="330"/>
      <c r="F606" s="330"/>
      <c r="G606" s="330"/>
      <c r="H606" s="23">
        <f>H607</f>
        <v>40000</v>
      </c>
      <c r="I606" s="23">
        <f>I607</f>
        <v>0</v>
      </c>
      <c r="J606" s="23">
        <f>J607</f>
        <v>40000</v>
      </c>
    </row>
    <row r="607" spans="2:10" s="26" customFormat="1" ht="11.25">
      <c r="B607" s="27"/>
      <c r="C607" s="325" t="s">
        <v>6</v>
      </c>
      <c r="D607" s="325"/>
      <c r="E607" s="325"/>
      <c r="F607" s="325"/>
      <c r="G607" s="325"/>
      <c r="H607" s="25">
        <v>40000</v>
      </c>
      <c r="I607" s="25"/>
      <c r="J607" s="25">
        <f>SUM(H607:I607)</f>
        <v>40000</v>
      </c>
    </row>
    <row r="608" spans="2:10" s="20" customFormat="1" ht="10.5">
      <c r="B608" s="21"/>
      <c r="C608" s="330" t="s">
        <v>8</v>
      </c>
      <c r="D608" s="330"/>
      <c r="E608" s="330"/>
      <c r="F608" s="330"/>
      <c r="G608" s="330"/>
      <c r="H608" s="23">
        <f>H609</f>
        <v>40000</v>
      </c>
      <c r="I608" s="23">
        <f>I609</f>
        <v>0</v>
      </c>
      <c r="J608" s="23">
        <f>J609</f>
        <v>40000</v>
      </c>
    </row>
    <row r="609" spans="3:10" s="26" customFormat="1" ht="11.25">
      <c r="C609" s="321" t="s">
        <v>11</v>
      </c>
      <c r="D609" s="321"/>
      <c r="E609" s="321"/>
      <c r="F609" s="321"/>
      <c r="G609" s="321"/>
      <c r="H609" s="25">
        <v>40000</v>
      </c>
      <c r="I609" s="25"/>
      <c r="J609" s="25">
        <f>SUM(H609:I609)</f>
        <v>40000</v>
      </c>
    </row>
    <row r="610" spans="3:10" s="26" customFormat="1" ht="15" customHeight="1">
      <c r="C610" s="28"/>
      <c r="D610" s="28"/>
      <c r="E610" s="28"/>
      <c r="F610" s="28"/>
      <c r="G610" s="28"/>
      <c r="H610" s="25"/>
      <c r="I610" s="25"/>
      <c r="J610" s="25"/>
    </row>
    <row r="611" spans="2:10" s="17" customFormat="1" ht="12">
      <c r="B611" s="18" t="s">
        <v>163</v>
      </c>
      <c r="C611" s="340" t="s">
        <v>89</v>
      </c>
      <c r="D611" s="340"/>
      <c r="E611" s="340"/>
      <c r="F611" s="340"/>
      <c r="G611" s="340"/>
      <c r="H611" s="19"/>
      <c r="I611" s="19"/>
      <c r="J611" s="19"/>
    </row>
    <row r="612" spans="2:10" s="20" customFormat="1" ht="10.5">
      <c r="B612" s="21"/>
      <c r="C612" s="330" t="s">
        <v>4</v>
      </c>
      <c r="D612" s="330"/>
      <c r="E612" s="330"/>
      <c r="F612" s="330"/>
      <c r="G612" s="330"/>
      <c r="H612" s="23">
        <f>H613</f>
        <v>78018</v>
      </c>
      <c r="I612" s="23">
        <f>I613</f>
        <v>0</v>
      </c>
      <c r="J612" s="23">
        <f>J613</f>
        <v>78018</v>
      </c>
    </row>
    <row r="613" spans="2:10" s="26" customFormat="1" ht="11.25">
      <c r="B613" s="27"/>
      <c r="C613" s="325" t="s">
        <v>6</v>
      </c>
      <c r="D613" s="325"/>
      <c r="E613" s="325"/>
      <c r="F613" s="325"/>
      <c r="G613" s="325"/>
      <c r="H613" s="25">
        <v>78018</v>
      </c>
      <c r="I613" s="25"/>
      <c r="J613" s="25">
        <f>SUM(H613:I613)</f>
        <v>78018</v>
      </c>
    </row>
    <row r="614" spans="2:10" s="20" customFormat="1" ht="10.5">
      <c r="B614" s="21"/>
      <c r="C614" s="330" t="s">
        <v>8</v>
      </c>
      <c r="D614" s="330"/>
      <c r="E614" s="330"/>
      <c r="F614" s="330"/>
      <c r="G614" s="330"/>
      <c r="H614" s="23">
        <f>H615+H617</f>
        <v>78018</v>
      </c>
      <c r="I614" s="23">
        <f>I615+I617</f>
        <v>0</v>
      </c>
      <c r="J614" s="23">
        <f>J615+J617</f>
        <v>78018</v>
      </c>
    </row>
    <row r="615" spans="3:10" s="26" customFormat="1" ht="11.25">
      <c r="C615" s="321" t="s">
        <v>11</v>
      </c>
      <c r="D615" s="321"/>
      <c r="E615" s="321"/>
      <c r="F615" s="321"/>
      <c r="G615" s="321"/>
      <c r="H615" s="25">
        <v>55018</v>
      </c>
      <c r="I615" s="25"/>
      <c r="J615" s="25">
        <f>SUM(H615:I615)</f>
        <v>55018</v>
      </c>
    </row>
    <row r="616" spans="3:10" s="77" customFormat="1" ht="11.25">
      <c r="C616" s="76"/>
      <c r="D616" s="297" t="s">
        <v>206</v>
      </c>
      <c r="E616" s="297"/>
      <c r="F616" s="297"/>
      <c r="G616" s="297"/>
      <c r="H616" s="41">
        <v>29936</v>
      </c>
      <c r="I616" s="41"/>
      <c r="J616" s="41">
        <f>SUM(H616:I616)</f>
        <v>29936</v>
      </c>
    </row>
    <row r="617" spans="3:10" s="26" customFormat="1" ht="11.25">
      <c r="C617" s="321" t="s">
        <v>124</v>
      </c>
      <c r="D617" s="321"/>
      <c r="E617" s="321"/>
      <c r="F617" s="321"/>
      <c r="G617" s="321"/>
      <c r="H617" s="25">
        <v>23000</v>
      </c>
      <c r="I617" s="25"/>
      <c r="J617" s="25">
        <f>SUM(H617:I617)</f>
        <v>23000</v>
      </c>
    </row>
    <row r="618" spans="3:10" s="26" customFormat="1" ht="12" customHeight="1">
      <c r="C618" s="28"/>
      <c r="D618" s="28"/>
      <c r="E618" s="28"/>
      <c r="F618" s="28"/>
      <c r="G618" s="28"/>
      <c r="H618" s="25"/>
      <c r="I618" s="25"/>
      <c r="J618" s="25"/>
    </row>
    <row r="619" spans="2:10" s="17" customFormat="1" ht="12">
      <c r="B619" s="18" t="s">
        <v>69</v>
      </c>
      <c r="C619" s="340" t="s">
        <v>75</v>
      </c>
      <c r="D619" s="340"/>
      <c r="E619" s="340"/>
      <c r="F619" s="340"/>
      <c r="G619" s="340"/>
      <c r="H619" s="59"/>
      <c r="I619" s="59"/>
      <c r="J619" s="59"/>
    </row>
    <row r="620" spans="2:10" s="20" customFormat="1" ht="10.5">
      <c r="B620" s="21"/>
      <c r="C620" s="330" t="s">
        <v>4</v>
      </c>
      <c r="D620" s="330"/>
      <c r="E620" s="330"/>
      <c r="F620" s="330"/>
      <c r="G620" s="330"/>
      <c r="H620" s="23">
        <f>H621+H622</f>
        <v>247978</v>
      </c>
      <c r="I620" s="23">
        <f>I621+I622</f>
        <v>0</v>
      </c>
      <c r="J620" s="23">
        <f>J621+J622</f>
        <v>247978</v>
      </c>
    </row>
    <row r="621" spans="2:10" s="26" customFormat="1" ht="11.25">
      <c r="B621" s="27"/>
      <c r="C621" s="325" t="s">
        <v>6</v>
      </c>
      <c r="D621" s="325"/>
      <c r="E621" s="325"/>
      <c r="F621" s="325"/>
      <c r="G621" s="325"/>
      <c r="H621" s="25">
        <f>H630+H644</f>
        <v>231670</v>
      </c>
      <c r="I621" s="25">
        <f>I630+I644</f>
        <v>0</v>
      </c>
      <c r="J621" s="25">
        <f>J630+J644</f>
        <v>231670</v>
      </c>
    </row>
    <row r="622" spans="2:10" s="26" customFormat="1" ht="11.25">
      <c r="B622" s="27"/>
      <c r="C622" s="325" t="s">
        <v>27</v>
      </c>
      <c r="D622" s="341"/>
      <c r="E622" s="341"/>
      <c r="F622" s="341"/>
      <c r="G622" s="341"/>
      <c r="H622" s="25">
        <f>H637</f>
        <v>16308</v>
      </c>
      <c r="I622" s="25">
        <f>I637</f>
        <v>0</v>
      </c>
      <c r="J622" s="25">
        <f>J637</f>
        <v>16308</v>
      </c>
    </row>
    <row r="623" spans="2:10" s="20" customFormat="1" ht="10.5">
      <c r="B623" s="21"/>
      <c r="C623" s="330" t="s">
        <v>8</v>
      </c>
      <c r="D623" s="330"/>
      <c r="E623" s="330"/>
      <c r="F623" s="330"/>
      <c r="G623" s="330"/>
      <c r="H623" s="23">
        <f>H624+H626</f>
        <v>247978</v>
      </c>
      <c r="I623" s="23">
        <f>I624+I626</f>
        <v>0</v>
      </c>
      <c r="J623" s="23">
        <f>J624+J626</f>
        <v>247978</v>
      </c>
    </row>
    <row r="624" spans="3:10" s="26" customFormat="1" ht="11.25">
      <c r="C624" s="321" t="s">
        <v>11</v>
      </c>
      <c r="D624" s="321"/>
      <c r="E624" s="321"/>
      <c r="F624" s="321"/>
      <c r="G624" s="321"/>
      <c r="H624" s="25">
        <f aca="true" t="shared" si="10" ref="H624:J625">H632+H639+H646</f>
        <v>238438</v>
      </c>
      <c r="I624" s="25">
        <f t="shared" si="10"/>
        <v>0</v>
      </c>
      <c r="J624" s="25">
        <f t="shared" si="10"/>
        <v>238438</v>
      </c>
    </row>
    <row r="625" spans="3:10" s="77" customFormat="1" ht="11.25">
      <c r="C625" s="76"/>
      <c r="D625" s="297" t="s">
        <v>206</v>
      </c>
      <c r="E625" s="297"/>
      <c r="F625" s="297"/>
      <c r="G625" s="297"/>
      <c r="H625" s="41">
        <f t="shared" si="10"/>
        <v>75043</v>
      </c>
      <c r="I625" s="41">
        <f t="shared" si="10"/>
        <v>0</v>
      </c>
      <c r="J625" s="41">
        <f t="shared" si="10"/>
        <v>75043</v>
      </c>
    </row>
    <row r="626" spans="3:10" s="26" customFormat="1" ht="11.25">
      <c r="C626" s="321" t="s">
        <v>124</v>
      </c>
      <c r="D626" s="321"/>
      <c r="E626" s="321"/>
      <c r="F626" s="321"/>
      <c r="G626" s="321"/>
      <c r="H626" s="25">
        <f>H648</f>
        <v>9540</v>
      </c>
      <c r="I626" s="25">
        <f>I648</f>
        <v>0</v>
      </c>
      <c r="J626" s="25">
        <f>J648</f>
        <v>9540</v>
      </c>
    </row>
    <row r="627" spans="3:10" s="26" customFormat="1" ht="7.5" customHeight="1">
      <c r="C627" s="28"/>
      <c r="D627" s="28"/>
      <c r="E627" s="28"/>
      <c r="F627" s="28"/>
      <c r="G627" s="28"/>
      <c r="H627" s="25"/>
      <c r="I627" s="25"/>
      <c r="J627" s="25"/>
    </row>
    <row r="628" spans="2:10" s="26" customFormat="1" ht="11.25">
      <c r="B628" s="27" t="s">
        <v>163</v>
      </c>
      <c r="C628" s="321" t="s">
        <v>77</v>
      </c>
      <c r="D628" s="321"/>
      <c r="E628" s="321"/>
      <c r="F628" s="321"/>
      <c r="G628" s="321"/>
      <c r="H628" s="25"/>
      <c r="I628" s="25"/>
      <c r="J628" s="25"/>
    </row>
    <row r="629" spans="2:10" s="20" customFormat="1" ht="10.5">
      <c r="B629" s="21"/>
      <c r="C629" s="330" t="s">
        <v>4</v>
      </c>
      <c r="D629" s="330"/>
      <c r="E629" s="330"/>
      <c r="F629" s="330"/>
      <c r="G629" s="330"/>
      <c r="H629" s="23">
        <f>H630</f>
        <v>164497</v>
      </c>
      <c r="I629" s="23">
        <f>I630</f>
        <v>0</v>
      </c>
      <c r="J629" s="23">
        <f>J630</f>
        <v>164497</v>
      </c>
    </row>
    <row r="630" spans="2:10" s="26" customFormat="1" ht="11.25">
      <c r="B630" s="27"/>
      <c r="C630" s="325" t="s">
        <v>6</v>
      </c>
      <c r="D630" s="325"/>
      <c r="E630" s="325"/>
      <c r="F630" s="325"/>
      <c r="G630" s="325"/>
      <c r="H630" s="25">
        <v>164497</v>
      </c>
      <c r="I630" s="25"/>
      <c r="J630" s="25">
        <f>SUM(H630:I630)</f>
        <v>164497</v>
      </c>
    </row>
    <row r="631" spans="2:10" s="20" customFormat="1" ht="10.5">
      <c r="B631" s="21"/>
      <c r="C631" s="330" t="s">
        <v>8</v>
      </c>
      <c r="D631" s="330"/>
      <c r="E631" s="330"/>
      <c r="F631" s="330"/>
      <c r="G631" s="330"/>
      <c r="H631" s="23">
        <f>H632</f>
        <v>164497</v>
      </c>
      <c r="I631" s="23">
        <f>I632</f>
        <v>0</v>
      </c>
      <c r="J631" s="23">
        <f>J632</f>
        <v>164497</v>
      </c>
    </row>
    <row r="632" spans="3:10" s="26" customFormat="1" ht="11.25">
      <c r="C632" s="321" t="s">
        <v>11</v>
      </c>
      <c r="D632" s="321"/>
      <c r="E632" s="321"/>
      <c r="F632" s="321"/>
      <c r="G632" s="321"/>
      <c r="H632" s="25">
        <v>164497</v>
      </c>
      <c r="I632" s="25"/>
      <c r="J632" s="25">
        <f>SUM(H632:I632)</f>
        <v>164497</v>
      </c>
    </row>
    <row r="633" spans="3:10" s="77" customFormat="1" ht="11.25">
      <c r="C633" s="76"/>
      <c r="D633" s="297" t="s">
        <v>206</v>
      </c>
      <c r="E633" s="297"/>
      <c r="F633" s="297"/>
      <c r="G633" s="297"/>
      <c r="H633" s="41">
        <v>24549</v>
      </c>
      <c r="I633" s="41"/>
      <c r="J633" s="41">
        <f>SUM(H633:I633)</f>
        <v>24549</v>
      </c>
    </row>
    <row r="634" spans="3:10" s="26" customFormat="1" ht="6.75" customHeight="1">
      <c r="C634" s="28"/>
      <c r="D634" s="28"/>
      <c r="E634" s="28"/>
      <c r="F634" s="28"/>
      <c r="G634" s="28"/>
      <c r="H634" s="25"/>
      <c r="I634" s="25"/>
      <c r="J634" s="25"/>
    </row>
    <row r="635" spans="2:10" s="33" customFormat="1" ht="21.75" customHeight="1">
      <c r="B635" s="51" t="s">
        <v>163</v>
      </c>
      <c r="C635" s="302" t="s">
        <v>78</v>
      </c>
      <c r="D635" s="302"/>
      <c r="E635" s="302"/>
      <c r="F635" s="302"/>
      <c r="G635" s="302"/>
      <c r="H635" s="52"/>
      <c r="I635" s="52"/>
      <c r="J635" s="52"/>
    </row>
    <row r="636" spans="2:10" s="20" customFormat="1" ht="10.5">
      <c r="B636" s="21"/>
      <c r="C636" s="330" t="s">
        <v>4</v>
      </c>
      <c r="D636" s="330"/>
      <c r="E636" s="330"/>
      <c r="F636" s="330"/>
      <c r="G636" s="330"/>
      <c r="H636" s="23">
        <f>H637</f>
        <v>16308</v>
      </c>
      <c r="I636" s="23">
        <f>I637</f>
        <v>0</v>
      </c>
      <c r="J636" s="23">
        <f>J637</f>
        <v>16308</v>
      </c>
    </row>
    <row r="637" spans="2:10" s="26" customFormat="1" ht="11.25">
      <c r="B637" s="27"/>
      <c r="C637" s="325" t="s">
        <v>27</v>
      </c>
      <c r="D637" s="325"/>
      <c r="E637" s="325"/>
      <c r="F637" s="325"/>
      <c r="G637" s="325"/>
      <c r="H637" s="25">
        <v>16308</v>
      </c>
      <c r="I637" s="25"/>
      <c r="J637" s="25">
        <f>SUM(H637:I637)</f>
        <v>16308</v>
      </c>
    </row>
    <row r="638" spans="2:10" s="20" customFormat="1" ht="10.5">
      <c r="B638" s="21"/>
      <c r="C638" s="330" t="s">
        <v>8</v>
      </c>
      <c r="D638" s="330"/>
      <c r="E638" s="330"/>
      <c r="F638" s="330"/>
      <c r="G638" s="330"/>
      <c r="H638" s="23">
        <f>H639</f>
        <v>16308</v>
      </c>
      <c r="I638" s="23">
        <f>I639</f>
        <v>0</v>
      </c>
      <c r="J638" s="23">
        <f>J639</f>
        <v>16308</v>
      </c>
    </row>
    <row r="639" spans="3:10" s="26" customFormat="1" ht="11.25">
      <c r="C639" s="321" t="s">
        <v>11</v>
      </c>
      <c r="D639" s="321"/>
      <c r="E639" s="321"/>
      <c r="F639" s="321"/>
      <c r="G639" s="321"/>
      <c r="H639" s="25">
        <v>16308</v>
      </c>
      <c r="I639" s="25"/>
      <c r="J639" s="25">
        <f>SUM(H639:I639)</f>
        <v>16308</v>
      </c>
    </row>
    <row r="640" spans="3:10" s="77" customFormat="1" ht="11.25">
      <c r="C640" s="76"/>
      <c r="D640" s="297" t="s">
        <v>206</v>
      </c>
      <c r="E640" s="297"/>
      <c r="F640" s="297"/>
      <c r="G640" s="297"/>
      <c r="H640" s="41">
        <v>12380</v>
      </c>
      <c r="I640" s="41"/>
      <c r="J640" s="41">
        <f>SUM(H640:I640)</f>
        <v>12380</v>
      </c>
    </row>
    <row r="641" spans="3:10" s="26" customFormat="1" ht="8.25" customHeight="1">
      <c r="C641" s="28"/>
      <c r="D641" s="28"/>
      <c r="E641" s="28"/>
      <c r="F641" s="28"/>
      <c r="G641" s="28"/>
      <c r="H641" s="25"/>
      <c r="I641" s="25"/>
      <c r="J641" s="25"/>
    </row>
    <row r="642" spans="2:10" s="26" customFormat="1" ht="11.25">
      <c r="B642" s="27" t="s">
        <v>161</v>
      </c>
      <c r="C642" s="321" t="s">
        <v>76</v>
      </c>
      <c r="D642" s="321"/>
      <c r="E642" s="321"/>
      <c r="F642" s="321"/>
      <c r="G642" s="321"/>
      <c r="H642" s="25"/>
      <c r="I642" s="25"/>
      <c r="J642" s="25"/>
    </row>
    <row r="643" spans="2:10" s="20" customFormat="1" ht="10.5">
      <c r="B643" s="21"/>
      <c r="C643" s="330" t="s">
        <v>4</v>
      </c>
      <c r="D643" s="330"/>
      <c r="E643" s="330"/>
      <c r="F643" s="330"/>
      <c r="G643" s="330"/>
      <c r="H643" s="23">
        <f>H644</f>
        <v>67173</v>
      </c>
      <c r="I643" s="23">
        <f>I644</f>
        <v>0</v>
      </c>
      <c r="J643" s="23">
        <f>J644</f>
        <v>67173</v>
      </c>
    </row>
    <row r="644" spans="2:10" s="26" customFormat="1" ht="11.25">
      <c r="B644" s="27"/>
      <c r="C644" s="325" t="s">
        <v>6</v>
      </c>
      <c r="D644" s="325"/>
      <c r="E644" s="325"/>
      <c r="F644" s="325"/>
      <c r="G644" s="325"/>
      <c r="H644" s="25">
        <v>67173</v>
      </c>
      <c r="I644" s="25"/>
      <c r="J644" s="25">
        <f>SUM(H644:I644)</f>
        <v>67173</v>
      </c>
    </row>
    <row r="645" spans="2:10" s="20" customFormat="1" ht="10.5">
      <c r="B645" s="21"/>
      <c r="C645" s="330" t="s">
        <v>8</v>
      </c>
      <c r="D645" s="330"/>
      <c r="E645" s="330"/>
      <c r="F645" s="330"/>
      <c r="G645" s="330"/>
      <c r="H645" s="23">
        <f>H646+H648</f>
        <v>67173</v>
      </c>
      <c r="I645" s="23">
        <f>I646+I648</f>
        <v>0</v>
      </c>
      <c r="J645" s="23">
        <f>J646+J648</f>
        <v>67173</v>
      </c>
    </row>
    <row r="646" spans="3:10" s="26" customFormat="1" ht="11.25">
      <c r="C646" s="321" t="s">
        <v>11</v>
      </c>
      <c r="D646" s="321"/>
      <c r="E646" s="321"/>
      <c r="F646" s="321"/>
      <c r="G646" s="321"/>
      <c r="H646" s="25">
        <v>57633</v>
      </c>
      <c r="I646" s="25"/>
      <c r="J646" s="25">
        <f>SUM(H646:I646)</f>
        <v>57633</v>
      </c>
    </row>
    <row r="647" spans="3:10" s="77" customFormat="1" ht="11.25">
      <c r="C647" s="76"/>
      <c r="D647" s="297" t="s">
        <v>206</v>
      </c>
      <c r="E647" s="297"/>
      <c r="F647" s="297"/>
      <c r="G647" s="297"/>
      <c r="H647" s="41">
        <v>38114</v>
      </c>
      <c r="I647" s="41"/>
      <c r="J647" s="41">
        <f>SUM(H647:I647)</f>
        <v>38114</v>
      </c>
    </row>
    <row r="648" spans="3:10" s="26" customFormat="1" ht="11.25">
      <c r="C648" s="321" t="s">
        <v>124</v>
      </c>
      <c r="D648" s="321"/>
      <c r="E648" s="321"/>
      <c r="F648" s="321"/>
      <c r="G648" s="321"/>
      <c r="H648" s="25">
        <v>9540</v>
      </c>
      <c r="I648" s="25"/>
      <c r="J648" s="25">
        <f>SUM(H648:I648)</f>
        <v>9540</v>
      </c>
    </row>
    <row r="649" spans="3:10" s="26" customFormat="1" ht="12.75" customHeight="1">
      <c r="C649" s="28"/>
      <c r="D649" s="28"/>
      <c r="E649" s="28"/>
      <c r="F649" s="28"/>
      <c r="G649" s="28"/>
      <c r="H649" s="25"/>
      <c r="I649" s="25"/>
      <c r="J649" s="25"/>
    </row>
    <row r="650" spans="2:10" s="6" customFormat="1" ht="50.25" customHeight="1">
      <c r="B650" s="7" t="s">
        <v>1</v>
      </c>
      <c r="C650" s="327" t="s">
        <v>2</v>
      </c>
      <c r="D650" s="327"/>
      <c r="E650" s="327"/>
      <c r="F650" s="327"/>
      <c r="G650" s="327"/>
      <c r="H650" s="8" t="s">
        <v>442</v>
      </c>
      <c r="I650" s="8" t="s">
        <v>440</v>
      </c>
      <c r="J650" s="8" t="s">
        <v>441</v>
      </c>
    </row>
    <row r="651" spans="3:10" s="26" customFormat="1" ht="8.25" customHeight="1">
      <c r="C651" s="28"/>
      <c r="D651" s="28"/>
      <c r="E651" s="28"/>
      <c r="F651" s="28"/>
      <c r="G651" s="28"/>
      <c r="H651" s="25"/>
      <c r="I651" s="25"/>
      <c r="J651" s="25"/>
    </row>
    <row r="652" spans="2:10" s="17" customFormat="1" ht="12">
      <c r="B652" s="18" t="s">
        <v>69</v>
      </c>
      <c r="C652" s="340" t="s">
        <v>72</v>
      </c>
      <c r="D652" s="340"/>
      <c r="E652" s="340"/>
      <c r="F652" s="340"/>
      <c r="G652" s="340"/>
      <c r="H652" s="19"/>
      <c r="I652" s="19"/>
      <c r="J652" s="19"/>
    </row>
    <row r="653" spans="2:10" s="20" customFormat="1" ht="10.5">
      <c r="B653" s="21"/>
      <c r="C653" s="330" t="s">
        <v>4</v>
      </c>
      <c r="D653" s="330"/>
      <c r="E653" s="330"/>
      <c r="F653" s="330"/>
      <c r="G653" s="330"/>
      <c r="H653" s="23">
        <f>H654+H655</f>
        <v>175435</v>
      </c>
      <c r="I653" s="23">
        <f>I654+I655</f>
        <v>0</v>
      </c>
      <c r="J653" s="23">
        <f>J654+J655</f>
        <v>175435</v>
      </c>
    </row>
    <row r="654" spans="2:10" s="26" customFormat="1" ht="11.25">
      <c r="B654" s="27"/>
      <c r="C654" s="325" t="s">
        <v>6</v>
      </c>
      <c r="D654" s="325"/>
      <c r="E654" s="325"/>
      <c r="F654" s="325"/>
      <c r="G654" s="325"/>
      <c r="H654" s="25">
        <f>H662+H669+H676</f>
        <v>120669</v>
      </c>
      <c r="I654" s="25">
        <f>I662+I669+I676</f>
        <v>0</v>
      </c>
      <c r="J654" s="25">
        <f>J662+J669+J676</f>
        <v>120669</v>
      </c>
    </row>
    <row r="655" spans="2:10" s="26" customFormat="1" ht="11.25">
      <c r="B655" s="27"/>
      <c r="C655" s="325" t="s">
        <v>7</v>
      </c>
      <c r="D655" s="325"/>
      <c r="E655" s="325"/>
      <c r="F655" s="325"/>
      <c r="G655" s="325"/>
      <c r="H655" s="25">
        <f>H677</f>
        <v>54766</v>
      </c>
      <c r="I655" s="25">
        <f>I677</f>
        <v>0</v>
      </c>
      <c r="J655" s="25">
        <f>J677</f>
        <v>54766</v>
      </c>
    </row>
    <row r="656" spans="2:10" s="20" customFormat="1" ht="10.5">
      <c r="B656" s="21"/>
      <c r="C656" s="330" t="s">
        <v>8</v>
      </c>
      <c r="D656" s="330"/>
      <c r="E656" s="330"/>
      <c r="F656" s="330"/>
      <c r="G656" s="330"/>
      <c r="H656" s="23">
        <f>H657</f>
        <v>175435</v>
      </c>
      <c r="I656" s="23">
        <f>I657</f>
        <v>0</v>
      </c>
      <c r="J656" s="23">
        <f>J657</f>
        <v>175435</v>
      </c>
    </row>
    <row r="657" spans="3:10" s="26" customFormat="1" ht="11.25">
      <c r="C657" s="321" t="s">
        <v>11</v>
      </c>
      <c r="D657" s="321"/>
      <c r="E657" s="321"/>
      <c r="F657" s="321"/>
      <c r="G657" s="321"/>
      <c r="H657" s="25">
        <f aca="true" t="shared" si="11" ref="H657:J658">H664+H671+H679</f>
        <v>175435</v>
      </c>
      <c r="I657" s="25">
        <f t="shared" si="11"/>
        <v>0</v>
      </c>
      <c r="J657" s="25">
        <f t="shared" si="11"/>
        <v>175435</v>
      </c>
    </row>
    <row r="658" spans="3:10" s="77" customFormat="1" ht="11.25">
      <c r="C658" s="76"/>
      <c r="D658" s="297" t="s">
        <v>206</v>
      </c>
      <c r="E658" s="297"/>
      <c r="F658" s="297"/>
      <c r="G658" s="297"/>
      <c r="H658" s="41">
        <f t="shared" si="11"/>
        <v>37684</v>
      </c>
      <c r="I658" s="41">
        <f t="shared" si="11"/>
        <v>0</v>
      </c>
      <c r="J658" s="41">
        <f t="shared" si="11"/>
        <v>37684</v>
      </c>
    </row>
    <row r="659" spans="3:10" s="26" customFormat="1" ht="7.5" customHeight="1">
      <c r="C659" s="28"/>
      <c r="D659" s="28"/>
      <c r="E659" s="28"/>
      <c r="F659" s="28"/>
      <c r="G659" s="28"/>
      <c r="H659" s="25"/>
      <c r="I659" s="25"/>
      <c r="J659" s="25"/>
    </row>
    <row r="660" spans="2:10" s="26" customFormat="1" ht="11.25">
      <c r="B660" s="27" t="s">
        <v>161</v>
      </c>
      <c r="C660" s="321" t="s">
        <v>73</v>
      </c>
      <c r="D660" s="321"/>
      <c r="E660" s="321"/>
      <c r="F660" s="321"/>
      <c r="G660" s="321"/>
      <c r="H660" s="25"/>
      <c r="I660" s="25"/>
      <c r="J660" s="25"/>
    </row>
    <row r="661" spans="2:10" s="20" customFormat="1" ht="10.5">
      <c r="B661" s="21"/>
      <c r="C661" s="330" t="s">
        <v>4</v>
      </c>
      <c r="D661" s="330"/>
      <c r="E661" s="330"/>
      <c r="F661" s="330"/>
      <c r="G661" s="330"/>
      <c r="H661" s="23">
        <f>H662</f>
        <v>28263</v>
      </c>
      <c r="I661" s="23">
        <f>I662</f>
        <v>0</v>
      </c>
      <c r="J661" s="23">
        <f>J662</f>
        <v>28263</v>
      </c>
    </row>
    <row r="662" spans="2:10" s="26" customFormat="1" ht="11.25">
      <c r="B662" s="27"/>
      <c r="C662" s="325" t="s">
        <v>6</v>
      </c>
      <c r="D662" s="325"/>
      <c r="E662" s="325"/>
      <c r="F662" s="325"/>
      <c r="G662" s="325"/>
      <c r="H662" s="25">
        <v>28263</v>
      </c>
      <c r="I662" s="25"/>
      <c r="J662" s="25">
        <f>SUM(H662:I662)</f>
        <v>28263</v>
      </c>
    </row>
    <row r="663" spans="2:10" s="20" customFormat="1" ht="10.5">
      <c r="B663" s="21"/>
      <c r="C663" s="330" t="s">
        <v>8</v>
      </c>
      <c r="D663" s="330"/>
      <c r="E663" s="330"/>
      <c r="F663" s="330"/>
      <c r="G663" s="330"/>
      <c r="H663" s="23">
        <f>H664</f>
        <v>28263</v>
      </c>
      <c r="I663" s="23">
        <f>I664</f>
        <v>0</v>
      </c>
      <c r="J663" s="23">
        <f>J664</f>
        <v>28263</v>
      </c>
    </row>
    <row r="664" spans="3:10" s="26" customFormat="1" ht="11.25">
      <c r="C664" s="321" t="s">
        <v>11</v>
      </c>
      <c r="D664" s="321"/>
      <c r="E664" s="321"/>
      <c r="F664" s="321"/>
      <c r="G664" s="321"/>
      <c r="H664" s="25">
        <v>28263</v>
      </c>
      <c r="I664" s="25"/>
      <c r="J664" s="25">
        <f>SUM(H664:I664)</f>
        <v>28263</v>
      </c>
    </row>
    <row r="665" spans="3:10" s="77" customFormat="1" ht="11.25">
      <c r="C665" s="76"/>
      <c r="D665" s="297" t="s">
        <v>206</v>
      </c>
      <c r="E665" s="297"/>
      <c r="F665" s="297"/>
      <c r="G665" s="297"/>
      <c r="H665" s="41">
        <v>19644</v>
      </c>
      <c r="I665" s="41"/>
      <c r="J665" s="41">
        <f>SUM(H665:I665)</f>
        <v>19644</v>
      </c>
    </row>
    <row r="666" spans="3:10" s="26" customFormat="1" ht="6.75" customHeight="1">
      <c r="C666" s="28"/>
      <c r="D666" s="28"/>
      <c r="E666" s="28"/>
      <c r="F666" s="28"/>
      <c r="G666" s="28"/>
      <c r="H666" s="25"/>
      <c r="I666" s="25"/>
      <c r="J666" s="25"/>
    </row>
    <row r="667" spans="2:10" s="26" customFormat="1" ht="13.5" customHeight="1">
      <c r="B667" s="57" t="s">
        <v>179</v>
      </c>
      <c r="C667" s="292" t="s">
        <v>180</v>
      </c>
      <c r="D667" s="292"/>
      <c r="E667" s="292"/>
      <c r="F667" s="292"/>
      <c r="G667" s="292"/>
      <c r="H667" s="58"/>
      <c r="I667" s="58"/>
      <c r="J667" s="58"/>
    </row>
    <row r="668" spans="2:10" s="20" customFormat="1" ht="10.5">
      <c r="B668" s="21"/>
      <c r="C668" s="330" t="s">
        <v>4</v>
      </c>
      <c r="D668" s="330"/>
      <c r="E668" s="330"/>
      <c r="F668" s="330"/>
      <c r="G668" s="330"/>
      <c r="H668" s="23">
        <f>H669</f>
        <v>40683</v>
      </c>
      <c r="I668" s="23">
        <f>I669</f>
        <v>0</v>
      </c>
      <c r="J668" s="23">
        <f>J669</f>
        <v>40683</v>
      </c>
    </row>
    <row r="669" spans="2:10" s="26" customFormat="1" ht="11.25">
      <c r="B669" s="27"/>
      <c r="C669" s="325" t="s">
        <v>6</v>
      </c>
      <c r="D669" s="325"/>
      <c r="E669" s="325"/>
      <c r="F669" s="325"/>
      <c r="G669" s="325"/>
      <c r="H669" s="25">
        <v>40683</v>
      </c>
      <c r="I669" s="25"/>
      <c r="J669" s="25">
        <f>SUM(H669:I669)</f>
        <v>40683</v>
      </c>
    </row>
    <row r="670" spans="2:10" s="20" customFormat="1" ht="10.5">
      <c r="B670" s="21"/>
      <c r="C670" s="330" t="s">
        <v>8</v>
      </c>
      <c r="D670" s="330"/>
      <c r="E670" s="330"/>
      <c r="F670" s="330"/>
      <c r="G670" s="330"/>
      <c r="H670" s="23">
        <f>H671</f>
        <v>40683</v>
      </c>
      <c r="I670" s="23">
        <f>I671</f>
        <v>0</v>
      </c>
      <c r="J670" s="23">
        <f>J671</f>
        <v>40683</v>
      </c>
    </row>
    <row r="671" spans="3:10" s="26" customFormat="1" ht="11.25">
      <c r="C671" s="321" t="s">
        <v>11</v>
      </c>
      <c r="D671" s="321"/>
      <c r="E671" s="321"/>
      <c r="F671" s="321"/>
      <c r="G671" s="321"/>
      <c r="H671" s="25">
        <v>40683</v>
      </c>
      <c r="I671" s="25"/>
      <c r="J671" s="25">
        <f>SUM(H671:I671)</f>
        <v>40683</v>
      </c>
    </row>
    <row r="672" spans="3:10" s="77" customFormat="1" ht="11.25">
      <c r="C672" s="76"/>
      <c r="D672" s="297" t="s">
        <v>206</v>
      </c>
      <c r="E672" s="297"/>
      <c r="F672" s="297"/>
      <c r="G672" s="297"/>
      <c r="H672" s="41">
        <v>4240</v>
      </c>
      <c r="I672" s="41"/>
      <c r="J672" s="41">
        <f>SUM(H672:I672)</f>
        <v>4240</v>
      </c>
    </row>
    <row r="673" spans="3:10" s="26" customFormat="1" ht="6" customHeight="1">
      <c r="C673" s="28"/>
      <c r="D673" s="28"/>
      <c r="E673" s="28"/>
      <c r="F673" s="28"/>
      <c r="G673" s="28"/>
      <c r="H673" s="25"/>
      <c r="I673" s="25"/>
      <c r="J673" s="25"/>
    </row>
    <row r="674" spans="2:10" s="26" customFormat="1" ht="11.25">
      <c r="B674" s="27" t="s">
        <v>179</v>
      </c>
      <c r="C674" s="321" t="s">
        <v>181</v>
      </c>
      <c r="D674" s="321"/>
      <c r="E674" s="321"/>
      <c r="F674" s="321"/>
      <c r="G674" s="321"/>
      <c r="H674" s="25"/>
      <c r="I674" s="25"/>
      <c r="J674" s="25"/>
    </row>
    <row r="675" spans="2:10" s="20" customFormat="1" ht="10.5">
      <c r="B675" s="21"/>
      <c r="C675" s="330" t="s">
        <v>4</v>
      </c>
      <c r="D675" s="330"/>
      <c r="E675" s="330"/>
      <c r="F675" s="330"/>
      <c r="G675" s="330"/>
      <c r="H675" s="23">
        <f>H676+H677</f>
        <v>106489</v>
      </c>
      <c r="I675" s="23">
        <f>I676+I677</f>
        <v>0</v>
      </c>
      <c r="J675" s="23">
        <f>J676+J677</f>
        <v>106489</v>
      </c>
    </row>
    <row r="676" spans="2:10" s="26" customFormat="1" ht="11.25">
      <c r="B676" s="27"/>
      <c r="C676" s="325" t="s">
        <v>6</v>
      </c>
      <c r="D676" s="325"/>
      <c r="E676" s="325"/>
      <c r="F676" s="325"/>
      <c r="G676" s="325"/>
      <c r="H676" s="25">
        <v>51723</v>
      </c>
      <c r="I676" s="25"/>
      <c r="J676" s="25">
        <f>SUM(H676:I676)</f>
        <v>51723</v>
      </c>
    </row>
    <row r="677" spans="2:10" s="26" customFormat="1" ht="11.25">
      <c r="B677" s="27"/>
      <c r="C677" s="325" t="s">
        <v>7</v>
      </c>
      <c r="D677" s="325"/>
      <c r="E677" s="325"/>
      <c r="F677" s="325"/>
      <c r="G677" s="325"/>
      <c r="H677" s="25">
        <v>54766</v>
      </c>
      <c r="I677" s="25"/>
      <c r="J677" s="25">
        <f>SUM(H677:I677)</f>
        <v>54766</v>
      </c>
    </row>
    <row r="678" spans="2:10" s="20" customFormat="1" ht="10.5">
      <c r="B678" s="21"/>
      <c r="C678" s="330" t="s">
        <v>8</v>
      </c>
      <c r="D678" s="330"/>
      <c r="E678" s="330"/>
      <c r="F678" s="330"/>
      <c r="G678" s="330"/>
      <c r="H678" s="23">
        <f>H679</f>
        <v>106489</v>
      </c>
      <c r="I678" s="23">
        <f>I679</f>
        <v>0</v>
      </c>
      <c r="J678" s="23">
        <f>J679</f>
        <v>106489</v>
      </c>
    </row>
    <row r="679" spans="3:10" s="26" customFormat="1" ht="11.25">
      <c r="C679" s="321" t="s">
        <v>11</v>
      </c>
      <c r="D679" s="321"/>
      <c r="E679" s="321"/>
      <c r="F679" s="321"/>
      <c r="G679" s="321"/>
      <c r="H679" s="25">
        <v>106489</v>
      </c>
      <c r="I679" s="25"/>
      <c r="J679" s="25">
        <f>SUM(H679:I679)</f>
        <v>106489</v>
      </c>
    </row>
    <row r="680" spans="3:10" s="77" customFormat="1" ht="11.25">
      <c r="C680" s="76"/>
      <c r="D680" s="297" t="s">
        <v>206</v>
      </c>
      <c r="E680" s="297"/>
      <c r="F680" s="297"/>
      <c r="G680" s="297"/>
      <c r="H680" s="41">
        <f>12349+1451</f>
        <v>13800</v>
      </c>
      <c r="I680" s="41"/>
      <c r="J680" s="41">
        <f>SUM(H680:I680)</f>
        <v>13800</v>
      </c>
    </row>
    <row r="681" spans="3:10" s="77" customFormat="1" ht="6.75" customHeight="1">
      <c r="C681" s="76"/>
      <c r="D681" s="76"/>
      <c r="E681" s="76"/>
      <c r="F681" s="76"/>
      <c r="G681" s="76"/>
      <c r="H681" s="41"/>
      <c r="I681" s="41"/>
      <c r="J681" s="41"/>
    </row>
    <row r="682" spans="2:10" s="26" customFormat="1" ht="6" customHeight="1">
      <c r="B682" s="21"/>
      <c r="C682" s="28"/>
      <c r="D682" s="28"/>
      <c r="E682" s="28"/>
      <c r="F682" s="28"/>
      <c r="G682" s="28"/>
      <c r="H682" s="25"/>
      <c r="I682" s="25"/>
      <c r="J682" s="25"/>
    </row>
    <row r="683" spans="2:10" s="47" customFormat="1" ht="12">
      <c r="B683" s="48" t="s">
        <v>93</v>
      </c>
      <c r="C683" s="310" t="s">
        <v>23</v>
      </c>
      <c r="D683" s="310"/>
      <c r="E683" s="310"/>
      <c r="F683" s="310"/>
      <c r="G683" s="310"/>
      <c r="H683" s="49">
        <f>H686+H877+H883+H824+H889+H837+H866+H818+H851</f>
        <v>21432133</v>
      </c>
      <c r="I683" s="49">
        <f>I686+I877+I883+I824+I889+I837+I866+I818+I851</f>
        <v>1043934</v>
      </c>
      <c r="J683" s="49">
        <f>J686+J877+J883+J824+J889+J837+J866+J818+J851</f>
        <v>22476067</v>
      </c>
    </row>
    <row r="684" spans="2:10" s="6" customFormat="1" ht="9" customHeight="1">
      <c r="B684" s="10"/>
      <c r="C684" s="10"/>
      <c r="D684" s="10"/>
      <c r="E684" s="10"/>
      <c r="F684" s="10"/>
      <c r="G684" s="10"/>
      <c r="H684" s="56"/>
      <c r="I684" s="56"/>
      <c r="J684" s="56"/>
    </row>
    <row r="685" spans="2:10" s="17" customFormat="1" ht="12">
      <c r="B685" s="39" t="s">
        <v>93</v>
      </c>
      <c r="C685" s="286" t="s">
        <v>24</v>
      </c>
      <c r="D685" s="286"/>
      <c r="E685" s="286"/>
      <c r="F685" s="286"/>
      <c r="G685" s="286"/>
      <c r="H685" s="40"/>
      <c r="I685" s="40"/>
      <c r="J685" s="40"/>
    </row>
    <row r="686" spans="2:10" s="20" customFormat="1" ht="10.5">
      <c r="B686" s="21"/>
      <c r="C686" s="330" t="s">
        <v>4</v>
      </c>
      <c r="D686" s="330"/>
      <c r="E686" s="330"/>
      <c r="F686" s="330"/>
      <c r="G686" s="330"/>
      <c r="H686" s="23">
        <f>H687+H691+H694+H695+H696</f>
        <v>20102372</v>
      </c>
      <c r="I686" s="23">
        <f>I687+I691+I694+I695+I696</f>
        <v>1041934</v>
      </c>
      <c r="J686" s="23">
        <f>J687+J691+J694+J695+J696</f>
        <v>21144306</v>
      </c>
    </row>
    <row r="687" spans="2:10" s="20" customFormat="1" ht="11.25">
      <c r="B687" s="21"/>
      <c r="C687" s="325" t="s">
        <v>187</v>
      </c>
      <c r="D687" s="325"/>
      <c r="E687" s="325"/>
      <c r="F687" s="325"/>
      <c r="G687" s="325"/>
      <c r="H687" s="25">
        <f>H688+H689+H690</f>
        <v>140832</v>
      </c>
      <c r="I687" s="25">
        <f>I688+I689+I690</f>
        <v>0</v>
      </c>
      <c r="J687" s="25">
        <f>J688+J689+J690</f>
        <v>140832</v>
      </c>
    </row>
    <row r="688" spans="2:10" s="20" customFormat="1" ht="11.25">
      <c r="B688" s="21"/>
      <c r="C688" s="332" t="s">
        <v>25</v>
      </c>
      <c r="D688" s="332"/>
      <c r="E688" s="332"/>
      <c r="F688" s="332"/>
      <c r="G688" s="332"/>
      <c r="H688" s="41">
        <f>H728+H752+H808</f>
        <v>34456</v>
      </c>
      <c r="I688" s="41">
        <f>I728+I752+I808</f>
        <v>0</v>
      </c>
      <c r="J688" s="41">
        <f>J728+J752+J808</f>
        <v>34456</v>
      </c>
    </row>
    <row r="689" spans="2:10" s="20" customFormat="1" ht="11.25">
      <c r="B689" s="21"/>
      <c r="C689" s="332" t="s">
        <v>26</v>
      </c>
      <c r="D689" s="332"/>
      <c r="E689" s="332"/>
      <c r="F689" s="332"/>
      <c r="G689" s="332"/>
      <c r="H689" s="41">
        <f>H705+H729+H753+H771+H782+H797+H809</f>
        <v>106339</v>
      </c>
      <c r="I689" s="41">
        <f>I705+I729+I753+I771+I782+I797+I809</f>
        <v>0</v>
      </c>
      <c r="J689" s="41">
        <f>J705+J729+J753+J771+J782+J797+J809</f>
        <v>106339</v>
      </c>
    </row>
    <row r="690" spans="2:10" s="20" customFormat="1" ht="11.25">
      <c r="B690" s="21"/>
      <c r="C690" s="332" t="s">
        <v>185</v>
      </c>
      <c r="D690" s="332"/>
      <c r="E690" s="332"/>
      <c r="F690" s="332"/>
      <c r="G690" s="332"/>
      <c r="H690" s="41">
        <f>H730</f>
        <v>37</v>
      </c>
      <c r="I690" s="41">
        <f>I730</f>
        <v>0</v>
      </c>
      <c r="J690" s="41">
        <f>J730</f>
        <v>37</v>
      </c>
    </row>
    <row r="691" spans="2:10" s="26" customFormat="1" ht="11.25">
      <c r="B691" s="27"/>
      <c r="C691" s="325" t="s">
        <v>6</v>
      </c>
      <c r="D691" s="325"/>
      <c r="E691" s="325"/>
      <c r="F691" s="325"/>
      <c r="G691" s="325"/>
      <c r="H691" s="25">
        <f>H692+H693</f>
        <v>9283908</v>
      </c>
      <c r="I691" s="25">
        <f>I692+I693</f>
        <v>0</v>
      </c>
      <c r="J691" s="25">
        <f>J692+J693</f>
        <v>9283908</v>
      </c>
    </row>
    <row r="692" spans="2:10" s="77" customFormat="1" ht="11.25">
      <c r="B692" s="75"/>
      <c r="C692" s="332" t="s">
        <v>184</v>
      </c>
      <c r="D692" s="332"/>
      <c r="E692" s="332"/>
      <c r="F692" s="332"/>
      <c r="G692" s="332"/>
      <c r="H692" s="41">
        <f>H706+H716+H732+H754+H764+H772+H783+H798+H744+H810</f>
        <v>9265403</v>
      </c>
      <c r="I692" s="41">
        <f>I706+I716+I732+I754+I764+I772+I783+I798+I744+I810</f>
        <v>0</v>
      </c>
      <c r="J692" s="41">
        <f>J706+J716+J732+J754+J764+J772+J783+J798+J744+J810</f>
        <v>9265403</v>
      </c>
    </row>
    <row r="693" spans="2:10" s="77" customFormat="1" ht="11.25">
      <c r="B693" s="75"/>
      <c r="C693" s="332" t="s">
        <v>183</v>
      </c>
      <c r="D693" s="332"/>
      <c r="E693" s="332"/>
      <c r="F693" s="332"/>
      <c r="G693" s="332"/>
      <c r="H693" s="41">
        <f>H733</f>
        <v>18505</v>
      </c>
      <c r="I693" s="41">
        <f>I733</f>
        <v>0</v>
      </c>
      <c r="J693" s="41">
        <f>J733</f>
        <v>18505</v>
      </c>
    </row>
    <row r="694" spans="2:10" s="26" customFormat="1" ht="11.25">
      <c r="B694" s="27"/>
      <c r="C694" s="325" t="s">
        <v>27</v>
      </c>
      <c r="D694" s="341"/>
      <c r="E694" s="341"/>
      <c r="F694" s="341"/>
      <c r="G694" s="341"/>
      <c r="H694" s="25">
        <f>H707+H717+H734+H755+H773+H784+H745</f>
        <v>9788394</v>
      </c>
      <c r="I694" s="25">
        <f>I707+I717+I734+I755+I773+I784+I745</f>
        <v>1036000</v>
      </c>
      <c r="J694" s="25">
        <f>J707+J717+J734+J755+J773+J784+J745</f>
        <v>10824394</v>
      </c>
    </row>
    <row r="695" spans="2:10" s="26" customFormat="1" ht="11.25">
      <c r="B695" s="27"/>
      <c r="C695" s="325" t="s">
        <v>28</v>
      </c>
      <c r="D695" s="341"/>
      <c r="E695" s="341"/>
      <c r="F695" s="341"/>
      <c r="G695" s="341"/>
      <c r="H695" s="25">
        <f>H735</f>
        <v>1111</v>
      </c>
      <c r="I695" s="25">
        <f>I735</f>
        <v>5934</v>
      </c>
      <c r="J695" s="25">
        <f>J735</f>
        <v>7045</v>
      </c>
    </row>
    <row r="696" spans="2:10" s="26" customFormat="1" ht="11.25">
      <c r="B696" s="27"/>
      <c r="C696" s="325" t="s">
        <v>7</v>
      </c>
      <c r="D696" s="325"/>
      <c r="E696" s="325"/>
      <c r="F696" s="325"/>
      <c r="G696" s="325"/>
      <c r="H696" s="25">
        <f>H708+H736+H756+H774+H785+H799+H811</f>
        <v>888127</v>
      </c>
      <c r="I696" s="25">
        <f>I708+I736+I756+I774+I785+I799+I811</f>
        <v>0</v>
      </c>
      <c r="J696" s="25">
        <f>J708+J736+J756+J774+J785+J799+J811</f>
        <v>888127</v>
      </c>
    </row>
    <row r="697" spans="2:10" s="20" customFormat="1" ht="10.5">
      <c r="B697" s="21"/>
      <c r="C697" s="330" t="s">
        <v>8</v>
      </c>
      <c r="D697" s="330"/>
      <c r="E697" s="330"/>
      <c r="F697" s="330"/>
      <c r="G697" s="330"/>
      <c r="H697" s="23">
        <f>H698+H700</f>
        <v>20102372</v>
      </c>
      <c r="I697" s="23">
        <f>I698+I700</f>
        <v>1041934</v>
      </c>
      <c r="J697" s="23">
        <f>J698+J700</f>
        <v>21144306</v>
      </c>
    </row>
    <row r="698" spans="3:10" s="26" customFormat="1" ht="11.25">
      <c r="C698" s="321" t="s">
        <v>11</v>
      </c>
      <c r="D698" s="321"/>
      <c r="E698" s="321"/>
      <c r="F698" s="321"/>
      <c r="G698" s="321"/>
      <c r="H698" s="25">
        <f>H710+H719+H738+H758+H766+H776+H787+H801+H747+H813</f>
        <v>18920424</v>
      </c>
      <c r="I698" s="25">
        <f>I710+I719+I738+I758+I766+I776+I787+I801+I747+I813</f>
        <v>5934</v>
      </c>
      <c r="J698" s="25">
        <f>J710+J719+J738+J758+J766+J776+J787+J801+J747+J813</f>
        <v>18926358</v>
      </c>
    </row>
    <row r="699" spans="3:10" s="77" customFormat="1" ht="11.25">
      <c r="C699" s="76"/>
      <c r="D699" s="297" t="s">
        <v>206</v>
      </c>
      <c r="E699" s="297"/>
      <c r="F699" s="297"/>
      <c r="G699" s="297"/>
      <c r="H699" s="41">
        <f>H711+H720+H739+H759+H767+H777+H788+H802+H814</f>
        <v>12456089</v>
      </c>
      <c r="I699" s="41">
        <f>I711+I720+I739+I759+I767+I777+I788+I802+I814</f>
        <v>3857</v>
      </c>
      <c r="J699" s="41">
        <f>J711+J720+J739+J759+J767+J777+J788+J802+J814</f>
        <v>12459946</v>
      </c>
    </row>
    <row r="700" spans="3:10" s="26" customFormat="1" ht="11.25">
      <c r="C700" s="321" t="s">
        <v>124</v>
      </c>
      <c r="D700" s="321"/>
      <c r="E700" s="321"/>
      <c r="F700" s="321"/>
      <c r="G700" s="321"/>
      <c r="H700" s="25">
        <f>H712+H721+H740+H760+H778+H789+H803+H815</f>
        <v>1181948</v>
      </c>
      <c r="I700" s="25">
        <f>I712+I721+I740+I760+I778+I789+I803+I815</f>
        <v>1036000</v>
      </c>
      <c r="J700" s="25">
        <f>J712+J721+J740+J760+J778+J789+J803+J815</f>
        <v>2217948</v>
      </c>
    </row>
    <row r="701" spans="3:10" s="26" customFormat="1" ht="6.75" customHeight="1">
      <c r="C701" s="28"/>
      <c r="D701" s="28"/>
      <c r="E701" s="28"/>
      <c r="F701" s="28"/>
      <c r="G701" s="28"/>
      <c r="H701" s="25"/>
      <c r="I701" s="25"/>
      <c r="J701" s="25"/>
    </row>
    <row r="702" spans="2:10" s="26" customFormat="1" ht="11.25">
      <c r="B702" s="27" t="s">
        <v>211</v>
      </c>
      <c r="C702" s="321" t="s">
        <v>30</v>
      </c>
      <c r="D702" s="321"/>
      <c r="E702" s="321"/>
      <c r="F702" s="321"/>
      <c r="G702" s="321"/>
      <c r="H702" s="25"/>
      <c r="I702" s="25"/>
      <c r="J702" s="25"/>
    </row>
    <row r="703" spans="2:10" s="20" customFormat="1" ht="10.5">
      <c r="B703" s="21"/>
      <c r="C703" s="330" t="s">
        <v>4</v>
      </c>
      <c r="D703" s="330"/>
      <c r="E703" s="330"/>
      <c r="F703" s="330"/>
      <c r="G703" s="330"/>
      <c r="H703" s="23">
        <f>H704+H706+H707+H708</f>
        <v>5257594</v>
      </c>
      <c r="I703" s="23">
        <f>I704+I706+I707+I708</f>
        <v>0</v>
      </c>
      <c r="J703" s="23">
        <f>J704+J706+J707+J708</f>
        <v>5257594</v>
      </c>
    </row>
    <row r="704" spans="2:10" s="20" customFormat="1" ht="11.25">
      <c r="B704" s="21"/>
      <c r="C704" s="325" t="s">
        <v>187</v>
      </c>
      <c r="D704" s="325"/>
      <c r="E704" s="325"/>
      <c r="F704" s="325"/>
      <c r="G704" s="325"/>
      <c r="H704" s="25">
        <f>H705</f>
        <v>39789</v>
      </c>
      <c r="I704" s="25"/>
      <c r="J704" s="25">
        <f>SUM(H704:I704)</f>
        <v>39789</v>
      </c>
    </row>
    <row r="705" spans="2:10" s="77" customFormat="1" ht="11.25">
      <c r="B705" s="75"/>
      <c r="C705" s="332" t="s">
        <v>26</v>
      </c>
      <c r="D705" s="332"/>
      <c r="E705" s="332"/>
      <c r="F705" s="332"/>
      <c r="G705" s="332"/>
      <c r="H705" s="41">
        <v>39789</v>
      </c>
      <c r="I705" s="41"/>
      <c r="J705" s="41">
        <f>SUM(H705:I705)</f>
        <v>39789</v>
      </c>
    </row>
    <row r="706" spans="2:10" s="26" customFormat="1" ht="11.25">
      <c r="B706" s="27"/>
      <c r="C706" s="325" t="s">
        <v>6</v>
      </c>
      <c r="D706" s="325"/>
      <c r="E706" s="325"/>
      <c r="F706" s="325"/>
      <c r="G706" s="325"/>
      <c r="H706" s="25">
        <v>3853373</v>
      </c>
      <c r="I706" s="25"/>
      <c r="J706" s="25">
        <f>SUM(H706:I706)</f>
        <v>3853373</v>
      </c>
    </row>
    <row r="707" spans="2:10" s="26" customFormat="1" ht="11.25">
      <c r="B707" s="27"/>
      <c r="C707" s="325" t="s">
        <v>27</v>
      </c>
      <c r="D707" s="341"/>
      <c r="E707" s="341"/>
      <c r="F707" s="341"/>
      <c r="G707" s="341"/>
      <c r="H707" s="25">
        <f>386101+461016</f>
        <v>847117</v>
      </c>
      <c r="I707" s="25"/>
      <c r="J707" s="25">
        <f>SUM(H707:I707)</f>
        <v>847117</v>
      </c>
    </row>
    <row r="708" spans="2:10" s="26" customFormat="1" ht="11.25">
      <c r="B708" s="27"/>
      <c r="C708" s="325" t="s">
        <v>7</v>
      </c>
      <c r="D708" s="325"/>
      <c r="E708" s="325"/>
      <c r="F708" s="325"/>
      <c r="G708" s="325"/>
      <c r="H708" s="25">
        <v>517315</v>
      </c>
      <c r="I708" s="25"/>
      <c r="J708" s="25">
        <f>SUM(H708:I708)</f>
        <v>517315</v>
      </c>
    </row>
    <row r="709" spans="2:10" s="20" customFormat="1" ht="10.5">
      <c r="B709" s="21"/>
      <c r="C709" s="330" t="s">
        <v>8</v>
      </c>
      <c r="D709" s="330"/>
      <c r="E709" s="330"/>
      <c r="F709" s="330"/>
      <c r="G709" s="330"/>
      <c r="H709" s="23">
        <f>H710+H712</f>
        <v>5257594</v>
      </c>
      <c r="I709" s="23">
        <f>I710+I712</f>
        <v>0</v>
      </c>
      <c r="J709" s="23">
        <f>J710+J712</f>
        <v>5257594</v>
      </c>
    </row>
    <row r="710" spans="3:10" s="26" customFormat="1" ht="11.25">
      <c r="C710" s="321" t="s">
        <v>11</v>
      </c>
      <c r="D710" s="321"/>
      <c r="E710" s="321"/>
      <c r="F710" s="321"/>
      <c r="G710" s="321"/>
      <c r="H710" s="25">
        <f>4492599+461016</f>
        <v>4953615</v>
      </c>
      <c r="I710" s="25"/>
      <c r="J710" s="25">
        <f>SUM(H710:I710)</f>
        <v>4953615</v>
      </c>
    </row>
    <row r="711" spans="3:10" s="77" customFormat="1" ht="11.25">
      <c r="C711" s="76"/>
      <c r="D711" s="297" t="s">
        <v>206</v>
      </c>
      <c r="E711" s="297"/>
      <c r="F711" s="297"/>
      <c r="G711" s="297"/>
      <c r="H711" s="41">
        <f>2674901+371518</f>
        <v>3046419</v>
      </c>
      <c r="I711" s="41"/>
      <c r="J711" s="41">
        <f>SUM(H711:I711)</f>
        <v>3046419</v>
      </c>
    </row>
    <row r="712" spans="3:10" s="26" customFormat="1" ht="11.25">
      <c r="C712" s="321" t="s">
        <v>124</v>
      </c>
      <c r="D712" s="321"/>
      <c r="E712" s="321"/>
      <c r="F712" s="321"/>
      <c r="G712" s="321"/>
      <c r="H712" s="25">
        <v>303979</v>
      </c>
      <c r="I712" s="25"/>
      <c r="J712" s="25">
        <f>SUM(H712:I712)</f>
        <v>303979</v>
      </c>
    </row>
    <row r="713" spans="3:10" s="26" customFormat="1" ht="6" customHeight="1">
      <c r="C713" s="28"/>
      <c r="D713" s="28"/>
      <c r="E713" s="28"/>
      <c r="F713" s="28"/>
      <c r="G713" s="28"/>
      <c r="H713" s="25"/>
      <c r="I713" s="25"/>
      <c r="J713" s="25"/>
    </row>
    <row r="714" spans="2:10" s="26" customFormat="1" ht="11.25">
      <c r="B714" s="27" t="s">
        <v>211</v>
      </c>
      <c r="C714" s="321" t="s">
        <v>167</v>
      </c>
      <c r="D714" s="321"/>
      <c r="E714" s="321"/>
      <c r="F714" s="321"/>
      <c r="G714" s="321"/>
      <c r="H714" s="25"/>
      <c r="I714" s="25"/>
      <c r="J714" s="25"/>
    </row>
    <row r="715" spans="2:10" s="20" customFormat="1" ht="10.5">
      <c r="B715" s="21"/>
      <c r="C715" s="330" t="s">
        <v>4</v>
      </c>
      <c r="D715" s="330"/>
      <c r="E715" s="330"/>
      <c r="F715" s="330"/>
      <c r="G715" s="330"/>
      <c r="H715" s="23">
        <f>H716+H717</f>
        <v>800504</v>
      </c>
      <c r="I715" s="23">
        <f>I716+I717</f>
        <v>61000</v>
      </c>
      <c r="J715" s="23">
        <f>J716+J717</f>
        <v>861504</v>
      </c>
    </row>
    <row r="716" spans="2:10" s="20" customFormat="1" ht="11.25">
      <c r="B716" s="21"/>
      <c r="C716" s="325" t="s">
        <v>6</v>
      </c>
      <c r="D716" s="325"/>
      <c r="E716" s="325"/>
      <c r="F716" s="325"/>
      <c r="G716" s="325"/>
      <c r="H716" s="25">
        <v>53260</v>
      </c>
      <c r="I716" s="25"/>
      <c r="J716" s="25">
        <f>SUM(H716:I716)</f>
        <v>53260</v>
      </c>
    </row>
    <row r="717" spans="2:10" s="26" customFormat="1" ht="11.25">
      <c r="B717" s="27"/>
      <c r="C717" s="325" t="s">
        <v>27</v>
      </c>
      <c r="D717" s="341"/>
      <c r="E717" s="341"/>
      <c r="F717" s="341"/>
      <c r="G717" s="341"/>
      <c r="H717" s="25">
        <v>747244</v>
      </c>
      <c r="I717" s="25">
        <v>61000</v>
      </c>
      <c r="J717" s="25">
        <f>SUM(H717:I717)</f>
        <v>808244</v>
      </c>
    </row>
    <row r="718" spans="2:10" s="20" customFormat="1" ht="10.5">
      <c r="B718" s="21"/>
      <c r="C718" s="330" t="s">
        <v>8</v>
      </c>
      <c r="D718" s="330"/>
      <c r="E718" s="330"/>
      <c r="F718" s="330"/>
      <c r="G718" s="330"/>
      <c r="H718" s="23">
        <f>H719+H721</f>
        <v>800504</v>
      </c>
      <c r="I718" s="23">
        <f>I719+I721</f>
        <v>61000</v>
      </c>
      <c r="J718" s="23">
        <f>J719+J721</f>
        <v>861504</v>
      </c>
    </row>
    <row r="719" spans="3:10" s="26" customFormat="1" ht="11.25">
      <c r="C719" s="321" t="s">
        <v>11</v>
      </c>
      <c r="D719" s="321"/>
      <c r="E719" s="321"/>
      <c r="F719" s="321"/>
      <c r="G719" s="321"/>
      <c r="H719" s="25">
        <v>703410</v>
      </c>
      <c r="I719" s="25"/>
      <c r="J719" s="25">
        <f>SUM(H719:I719)</f>
        <v>703410</v>
      </c>
    </row>
    <row r="720" spans="3:10" s="77" customFormat="1" ht="11.25">
      <c r="C720" s="76"/>
      <c r="D720" s="297" t="s">
        <v>206</v>
      </c>
      <c r="E720" s="297"/>
      <c r="F720" s="297"/>
      <c r="G720" s="297"/>
      <c r="H720" s="41">
        <v>469871</v>
      </c>
      <c r="I720" s="41"/>
      <c r="J720" s="41">
        <f>SUM(H720:I720)</f>
        <v>469871</v>
      </c>
    </row>
    <row r="721" spans="3:10" s="26" customFormat="1" ht="11.25">
      <c r="C721" s="321" t="s">
        <v>124</v>
      </c>
      <c r="D721" s="321"/>
      <c r="E721" s="321"/>
      <c r="F721" s="321"/>
      <c r="G721" s="321"/>
      <c r="H721" s="25">
        <v>97094</v>
      </c>
      <c r="I721" s="25">
        <v>61000</v>
      </c>
      <c r="J721" s="25">
        <f>SUM(H721:I721)</f>
        <v>158094</v>
      </c>
    </row>
    <row r="722" spans="3:10" s="26" customFormat="1" ht="11.25">
      <c r="C722" s="28"/>
      <c r="D722" s="28"/>
      <c r="E722" s="28"/>
      <c r="F722" s="28"/>
      <c r="G722" s="28"/>
      <c r="H722" s="25"/>
      <c r="I722" s="25"/>
      <c r="J722" s="25"/>
    </row>
    <row r="723" spans="2:10" s="6" customFormat="1" ht="50.25" customHeight="1">
      <c r="B723" s="7" t="s">
        <v>1</v>
      </c>
      <c r="C723" s="327" t="s">
        <v>2</v>
      </c>
      <c r="D723" s="327"/>
      <c r="E723" s="327"/>
      <c r="F723" s="327"/>
      <c r="G723" s="327"/>
      <c r="H723" s="8" t="s">
        <v>442</v>
      </c>
      <c r="I723" s="8" t="s">
        <v>440</v>
      </c>
      <c r="J723" s="8" t="s">
        <v>441</v>
      </c>
    </row>
    <row r="724" spans="3:10" s="26" customFormat="1" ht="11.25">
      <c r="C724" s="28"/>
      <c r="D724" s="28"/>
      <c r="E724" s="28"/>
      <c r="F724" s="28"/>
      <c r="G724" s="28"/>
      <c r="H724" s="25"/>
      <c r="I724" s="25"/>
      <c r="J724" s="25"/>
    </row>
    <row r="725" spans="2:10" s="26" customFormat="1" ht="11.25">
      <c r="B725" s="27" t="s">
        <v>164</v>
      </c>
      <c r="C725" s="321" t="s">
        <v>31</v>
      </c>
      <c r="D725" s="321"/>
      <c r="E725" s="321"/>
      <c r="F725" s="321"/>
      <c r="G725" s="321"/>
      <c r="H725" s="25"/>
      <c r="I725" s="25"/>
      <c r="J725" s="25"/>
    </row>
    <row r="726" spans="2:10" s="20" customFormat="1" ht="10.5">
      <c r="B726" s="21"/>
      <c r="C726" s="330" t="s">
        <v>4</v>
      </c>
      <c r="D726" s="330"/>
      <c r="E726" s="330"/>
      <c r="F726" s="330"/>
      <c r="G726" s="330"/>
      <c r="H726" s="23">
        <f>H727+H731+H734+H735+H736</f>
        <v>10994834</v>
      </c>
      <c r="I726" s="23">
        <f>I727+I731+I734+I735+I736</f>
        <v>980934</v>
      </c>
      <c r="J726" s="23">
        <f>J727+J731+J734+J735+J736</f>
        <v>11975768</v>
      </c>
    </row>
    <row r="727" spans="2:10" s="20" customFormat="1" ht="11.25">
      <c r="B727" s="21"/>
      <c r="C727" s="325" t="s">
        <v>187</v>
      </c>
      <c r="D727" s="325"/>
      <c r="E727" s="325"/>
      <c r="F727" s="325"/>
      <c r="G727" s="325"/>
      <c r="H727" s="25">
        <f>H728+H729+H730</f>
        <v>70486</v>
      </c>
      <c r="I727" s="25"/>
      <c r="J727" s="25">
        <f aca="true" t="shared" si="12" ref="J727:J736">SUM(H727:I727)</f>
        <v>70486</v>
      </c>
    </row>
    <row r="728" spans="2:10" s="20" customFormat="1" ht="11.25">
      <c r="B728" s="21"/>
      <c r="C728" s="332" t="s">
        <v>25</v>
      </c>
      <c r="D728" s="332"/>
      <c r="E728" s="332"/>
      <c r="F728" s="332"/>
      <c r="G728" s="332"/>
      <c r="H728" s="41">
        <v>31001</v>
      </c>
      <c r="I728" s="41"/>
      <c r="J728" s="41">
        <f t="shared" si="12"/>
        <v>31001</v>
      </c>
    </row>
    <row r="729" spans="2:10" s="20" customFormat="1" ht="10.5" customHeight="1">
      <c r="B729" s="21"/>
      <c r="C729" s="332" t="s">
        <v>26</v>
      </c>
      <c r="D729" s="332"/>
      <c r="E729" s="332"/>
      <c r="F729" s="332"/>
      <c r="G729" s="332"/>
      <c r="H729" s="41">
        <v>39448</v>
      </c>
      <c r="I729" s="41"/>
      <c r="J729" s="41">
        <f t="shared" si="12"/>
        <v>39448</v>
      </c>
    </row>
    <row r="730" spans="2:10" s="20" customFormat="1" ht="10.5" customHeight="1">
      <c r="B730" s="21"/>
      <c r="C730" s="332" t="s">
        <v>185</v>
      </c>
      <c r="D730" s="332"/>
      <c r="E730" s="332"/>
      <c r="F730" s="332"/>
      <c r="G730" s="332"/>
      <c r="H730" s="41">
        <v>37</v>
      </c>
      <c r="I730" s="41"/>
      <c r="J730" s="41">
        <f t="shared" si="12"/>
        <v>37</v>
      </c>
    </row>
    <row r="731" spans="2:10" s="26" customFormat="1" ht="11.25">
      <c r="B731" s="27"/>
      <c r="C731" s="325" t="s">
        <v>182</v>
      </c>
      <c r="D731" s="325"/>
      <c r="E731" s="325"/>
      <c r="F731" s="325"/>
      <c r="G731" s="325"/>
      <c r="H731" s="25">
        <f>H732+H733</f>
        <v>3829473</v>
      </c>
      <c r="I731" s="25"/>
      <c r="J731" s="25">
        <f t="shared" si="12"/>
        <v>3829473</v>
      </c>
    </row>
    <row r="732" spans="2:10" s="77" customFormat="1" ht="11.25">
      <c r="B732" s="75"/>
      <c r="C732" s="332" t="s">
        <v>184</v>
      </c>
      <c r="D732" s="332"/>
      <c r="E732" s="332"/>
      <c r="F732" s="332"/>
      <c r="G732" s="332"/>
      <c r="H732" s="41">
        <v>3810968</v>
      </c>
      <c r="I732" s="41"/>
      <c r="J732" s="41">
        <f t="shared" si="12"/>
        <v>3810968</v>
      </c>
    </row>
    <row r="733" spans="2:10" s="77" customFormat="1" ht="11.25">
      <c r="B733" s="75"/>
      <c r="C733" s="332" t="s">
        <v>183</v>
      </c>
      <c r="D733" s="332"/>
      <c r="E733" s="332"/>
      <c r="F733" s="332"/>
      <c r="G733" s="332"/>
      <c r="H733" s="41">
        <v>18505</v>
      </c>
      <c r="I733" s="41"/>
      <c r="J733" s="41">
        <f t="shared" si="12"/>
        <v>18505</v>
      </c>
    </row>
    <row r="734" spans="2:10" s="26" customFormat="1" ht="11.25">
      <c r="B734" s="27"/>
      <c r="C734" s="325" t="s">
        <v>27</v>
      </c>
      <c r="D734" s="341"/>
      <c r="E734" s="341"/>
      <c r="F734" s="341"/>
      <c r="G734" s="341"/>
      <c r="H734" s="25">
        <v>6799593</v>
      </c>
      <c r="I734" s="25">
        <v>975000</v>
      </c>
      <c r="J734" s="25">
        <f t="shared" si="12"/>
        <v>7774593</v>
      </c>
    </row>
    <row r="735" spans="2:10" s="26" customFormat="1" ht="11.25">
      <c r="B735" s="27"/>
      <c r="C735" s="325" t="s">
        <v>28</v>
      </c>
      <c r="D735" s="341"/>
      <c r="E735" s="341"/>
      <c r="F735" s="341"/>
      <c r="G735" s="341"/>
      <c r="H735" s="25">
        <v>1111</v>
      </c>
      <c r="I735" s="25">
        <v>5934</v>
      </c>
      <c r="J735" s="25">
        <f t="shared" si="12"/>
        <v>7045</v>
      </c>
    </row>
    <row r="736" spans="2:10" s="26" customFormat="1" ht="11.25">
      <c r="B736" s="27"/>
      <c r="C736" s="325" t="s">
        <v>7</v>
      </c>
      <c r="D736" s="325"/>
      <c r="E736" s="325"/>
      <c r="F736" s="325"/>
      <c r="G736" s="325"/>
      <c r="H736" s="25">
        <v>294171</v>
      </c>
      <c r="I736" s="25"/>
      <c r="J736" s="25">
        <f t="shared" si="12"/>
        <v>294171</v>
      </c>
    </row>
    <row r="737" spans="2:10" s="20" customFormat="1" ht="10.5">
      <c r="B737" s="21"/>
      <c r="C737" s="330" t="s">
        <v>8</v>
      </c>
      <c r="D737" s="330"/>
      <c r="E737" s="330"/>
      <c r="F737" s="330"/>
      <c r="G737" s="330"/>
      <c r="H737" s="23">
        <f>H738+H740</f>
        <v>10994834</v>
      </c>
      <c r="I737" s="23">
        <f>I738+I740</f>
        <v>980934</v>
      </c>
      <c r="J737" s="23">
        <f>J738+J740</f>
        <v>11975768</v>
      </c>
    </row>
    <row r="738" spans="3:10" s="26" customFormat="1" ht="11.25">
      <c r="C738" s="321" t="s">
        <v>11</v>
      </c>
      <c r="D738" s="321"/>
      <c r="E738" s="321"/>
      <c r="F738" s="321"/>
      <c r="G738" s="321"/>
      <c r="H738" s="25">
        <v>10472612</v>
      </c>
      <c r="I738" s="25">
        <v>5934</v>
      </c>
      <c r="J738" s="25">
        <f>SUM(H738:I738)</f>
        <v>10478546</v>
      </c>
    </row>
    <row r="739" spans="3:10" s="77" customFormat="1" ht="11.25">
      <c r="C739" s="76"/>
      <c r="D739" s="297" t="s">
        <v>206</v>
      </c>
      <c r="E739" s="297"/>
      <c r="F739" s="297"/>
      <c r="G739" s="297"/>
      <c r="H739" s="41">
        <v>7358154</v>
      </c>
      <c r="I739" s="41">
        <v>3857</v>
      </c>
      <c r="J739" s="41">
        <f>SUM(H739:I739)</f>
        <v>7362011</v>
      </c>
    </row>
    <row r="740" spans="3:10" s="26" customFormat="1" ht="11.25">
      <c r="C740" s="321" t="s">
        <v>124</v>
      </c>
      <c r="D740" s="321"/>
      <c r="E740" s="321"/>
      <c r="F740" s="321"/>
      <c r="G740" s="321"/>
      <c r="H740" s="25">
        <v>522222</v>
      </c>
      <c r="I740" s="25">
        <v>975000</v>
      </c>
      <c r="J740" s="25">
        <f>SUM(H740:I740)</f>
        <v>1497222</v>
      </c>
    </row>
    <row r="741" spans="3:10" s="26" customFormat="1" ht="7.5" customHeight="1">
      <c r="C741" s="28"/>
      <c r="D741" s="28"/>
      <c r="E741" s="28"/>
      <c r="F741" s="28"/>
      <c r="G741" s="28"/>
      <c r="H741" s="25"/>
      <c r="I741" s="25"/>
      <c r="J741" s="25"/>
    </row>
    <row r="742" spans="2:10" s="26" customFormat="1" ht="11.25">
      <c r="B742" s="27" t="s">
        <v>164</v>
      </c>
      <c r="C742" s="321" t="s">
        <v>34</v>
      </c>
      <c r="D742" s="321"/>
      <c r="E742" s="321"/>
      <c r="F742" s="321"/>
      <c r="G742" s="321"/>
      <c r="H742" s="25"/>
      <c r="I742" s="25"/>
      <c r="J742" s="25"/>
    </row>
    <row r="743" spans="2:10" s="20" customFormat="1" ht="10.5">
      <c r="B743" s="21"/>
      <c r="C743" s="330" t="s">
        <v>4</v>
      </c>
      <c r="D743" s="330"/>
      <c r="E743" s="330"/>
      <c r="F743" s="330"/>
      <c r="G743" s="330"/>
      <c r="H743" s="23">
        <f>H744+H745</f>
        <v>126505</v>
      </c>
      <c r="I743" s="23">
        <f>I744+I745</f>
        <v>0</v>
      </c>
      <c r="J743" s="23">
        <f>J744+J745</f>
        <v>126505</v>
      </c>
    </row>
    <row r="744" spans="2:10" s="26" customFormat="1" ht="11.25">
      <c r="B744" s="27"/>
      <c r="C744" s="325" t="s">
        <v>6</v>
      </c>
      <c r="D744" s="325"/>
      <c r="E744" s="325"/>
      <c r="F744" s="325"/>
      <c r="G744" s="325"/>
      <c r="H744" s="25">
        <v>70439</v>
      </c>
      <c r="I744" s="25"/>
      <c r="J744" s="25">
        <f>SUM(H744:I744)</f>
        <v>70439</v>
      </c>
    </row>
    <row r="745" spans="2:10" s="26" customFormat="1" ht="11.25">
      <c r="B745" s="27"/>
      <c r="C745" s="325" t="s">
        <v>27</v>
      </c>
      <c r="D745" s="341"/>
      <c r="E745" s="341"/>
      <c r="F745" s="341"/>
      <c r="G745" s="341"/>
      <c r="H745" s="25">
        <v>56066</v>
      </c>
      <c r="I745" s="25"/>
      <c r="J745" s="25">
        <f>SUM(H745:I745)</f>
        <v>56066</v>
      </c>
    </row>
    <row r="746" spans="2:10" s="20" customFormat="1" ht="10.5">
      <c r="B746" s="21"/>
      <c r="C746" s="330" t="s">
        <v>8</v>
      </c>
      <c r="D746" s="330"/>
      <c r="E746" s="330"/>
      <c r="F746" s="330"/>
      <c r="G746" s="330"/>
      <c r="H746" s="23">
        <f>H747</f>
        <v>126505</v>
      </c>
      <c r="I746" s="23">
        <f>I747</f>
        <v>0</v>
      </c>
      <c r="J746" s="23">
        <f>J747</f>
        <v>126505</v>
      </c>
    </row>
    <row r="747" spans="3:10" s="26" customFormat="1" ht="11.25">
      <c r="C747" s="321" t="s">
        <v>11</v>
      </c>
      <c r="D747" s="321"/>
      <c r="E747" s="321"/>
      <c r="F747" s="321"/>
      <c r="G747" s="321"/>
      <c r="H747" s="25">
        <v>126505</v>
      </c>
      <c r="I747" s="25"/>
      <c r="J747" s="25">
        <f>SUM(H747:I747)</f>
        <v>126505</v>
      </c>
    </row>
    <row r="748" spans="3:10" s="26" customFormat="1" ht="8.25" customHeight="1">
      <c r="C748" s="28"/>
      <c r="D748" s="28"/>
      <c r="E748" s="28"/>
      <c r="F748" s="28"/>
      <c r="G748" s="28"/>
      <c r="H748" s="25"/>
      <c r="I748" s="25"/>
      <c r="J748" s="25"/>
    </row>
    <row r="749" spans="2:10" s="26" customFormat="1" ht="11.25">
      <c r="B749" s="27" t="s">
        <v>164</v>
      </c>
      <c r="C749" s="321" t="s">
        <v>32</v>
      </c>
      <c r="D749" s="321"/>
      <c r="E749" s="321"/>
      <c r="F749" s="321"/>
      <c r="G749" s="321"/>
      <c r="H749" s="25"/>
      <c r="I749" s="25"/>
      <c r="J749" s="25"/>
    </row>
    <row r="750" spans="2:10" s="20" customFormat="1" ht="10.5">
      <c r="B750" s="21"/>
      <c r="C750" s="330" t="s">
        <v>4</v>
      </c>
      <c r="D750" s="330"/>
      <c r="E750" s="330"/>
      <c r="F750" s="330"/>
      <c r="G750" s="330"/>
      <c r="H750" s="23">
        <f>H751+H754+H755+H756</f>
        <v>890136</v>
      </c>
      <c r="I750" s="23">
        <f>I751+I754+I755+I756</f>
        <v>0</v>
      </c>
      <c r="J750" s="23">
        <f>J751+J754+J755+J756</f>
        <v>890136</v>
      </c>
    </row>
    <row r="751" spans="2:10" s="20" customFormat="1" ht="11.25">
      <c r="B751" s="21"/>
      <c r="C751" s="325" t="s">
        <v>187</v>
      </c>
      <c r="D751" s="325"/>
      <c r="E751" s="325"/>
      <c r="F751" s="325"/>
      <c r="G751" s="325"/>
      <c r="H751" s="25">
        <f>H752+H753</f>
        <v>3610</v>
      </c>
      <c r="I751" s="25"/>
      <c r="J751" s="25">
        <f aca="true" t="shared" si="13" ref="J751:J756">SUM(H751:I751)</f>
        <v>3610</v>
      </c>
    </row>
    <row r="752" spans="2:10" s="20" customFormat="1" ht="11.25">
      <c r="B752" s="21"/>
      <c r="C752" s="332" t="s">
        <v>25</v>
      </c>
      <c r="D752" s="332"/>
      <c r="E752" s="332"/>
      <c r="F752" s="332"/>
      <c r="G752" s="332"/>
      <c r="H752" s="41">
        <v>3454</v>
      </c>
      <c r="I752" s="41"/>
      <c r="J752" s="41">
        <f t="shared" si="13"/>
        <v>3454</v>
      </c>
    </row>
    <row r="753" spans="2:10" s="20" customFormat="1" ht="11.25">
      <c r="B753" s="21"/>
      <c r="C753" s="332" t="s">
        <v>26</v>
      </c>
      <c r="D753" s="332"/>
      <c r="E753" s="332"/>
      <c r="F753" s="332"/>
      <c r="G753" s="332"/>
      <c r="H753" s="41">
        <v>156</v>
      </c>
      <c r="I753" s="41"/>
      <c r="J753" s="41">
        <f t="shared" si="13"/>
        <v>156</v>
      </c>
    </row>
    <row r="754" spans="2:10" s="26" customFormat="1" ht="11.25">
      <c r="B754" s="27"/>
      <c r="C754" s="325" t="s">
        <v>6</v>
      </c>
      <c r="D754" s="325"/>
      <c r="E754" s="325"/>
      <c r="F754" s="325"/>
      <c r="G754" s="325"/>
      <c r="H754" s="25">
        <v>19000</v>
      </c>
      <c r="I754" s="25"/>
      <c r="J754" s="25">
        <f t="shared" si="13"/>
        <v>19000</v>
      </c>
    </row>
    <row r="755" spans="2:10" s="26" customFormat="1" ht="11.25">
      <c r="B755" s="27"/>
      <c r="C755" s="325" t="s">
        <v>27</v>
      </c>
      <c r="D755" s="341"/>
      <c r="E755" s="341"/>
      <c r="F755" s="341"/>
      <c r="G755" s="341"/>
      <c r="H755" s="25">
        <v>844526</v>
      </c>
      <c r="I755" s="25"/>
      <c r="J755" s="25">
        <f t="shared" si="13"/>
        <v>844526</v>
      </c>
    </row>
    <row r="756" spans="2:10" s="26" customFormat="1" ht="11.25">
      <c r="B756" s="27"/>
      <c r="C756" s="325" t="s">
        <v>7</v>
      </c>
      <c r="D756" s="325"/>
      <c r="E756" s="325"/>
      <c r="F756" s="325"/>
      <c r="G756" s="325"/>
      <c r="H756" s="25">
        <v>23000</v>
      </c>
      <c r="I756" s="25"/>
      <c r="J756" s="25">
        <f t="shared" si="13"/>
        <v>23000</v>
      </c>
    </row>
    <row r="757" spans="2:10" s="20" customFormat="1" ht="10.5">
      <c r="B757" s="21"/>
      <c r="C757" s="330" t="s">
        <v>8</v>
      </c>
      <c r="D757" s="330"/>
      <c r="E757" s="330"/>
      <c r="F757" s="330"/>
      <c r="G757" s="330"/>
      <c r="H757" s="23">
        <f>H758+H760</f>
        <v>890136</v>
      </c>
      <c r="I757" s="23">
        <f>I758+I760</f>
        <v>0</v>
      </c>
      <c r="J757" s="23">
        <f>J758+J760</f>
        <v>890136</v>
      </c>
    </row>
    <row r="758" spans="3:10" s="26" customFormat="1" ht="11.25">
      <c r="C758" s="321" t="s">
        <v>11</v>
      </c>
      <c r="D758" s="321"/>
      <c r="E758" s="321"/>
      <c r="F758" s="321"/>
      <c r="G758" s="321"/>
      <c r="H758" s="25">
        <v>805203</v>
      </c>
      <c r="I758" s="25"/>
      <c r="J758" s="25">
        <f>SUM(H758:I758)</f>
        <v>805203</v>
      </c>
    </row>
    <row r="759" spans="3:10" s="77" customFormat="1" ht="11.25">
      <c r="C759" s="76"/>
      <c r="D759" s="297" t="s">
        <v>206</v>
      </c>
      <c r="E759" s="297"/>
      <c r="F759" s="297"/>
      <c r="G759" s="297"/>
      <c r="H759" s="41">
        <v>518841</v>
      </c>
      <c r="I759" s="41"/>
      <c r="J759" s="41">
        <f>SUM(H759:I759)</f>
        <v>518841</v>
      </c>
    </row>
    <row r="760" spans="3:10" s="26" customFormat="1" ht="11.25">
      <c r="C760" s="321" t="s">
        <v>124</v>
      </c>
      <c r="D760" s="321"/>
      <c r="E760" s="321"/>
      <c r="F760" s="321"/>
      <c r="G760" s="321"/>
      <c r="H760" s="25">
        <v>84933</v>
      </c>
      <c r="I760" s="25"/>
      <c r="J760" s="25">
        <f>SUM(H760:I760)</f>
        <v>84933</v>
      </c>
    </row>
    <row r="761" spans="3:10" s="26" customFormat="1" ht="6" customHeight="1">
      <c r="C761" s="28"/>
      <c r="D761" s="28"/>
      <c r="E761" s="28"/>
      <c r="F761" s="28"/>
      <c r="G761" s="28"/>
      <c r="H761" s="25"/>
      <c r="I761" s="25"/>
      <c r="J761" s="25"/>
    </row>
    <row r="762" spans="2:10" s="26" customFormat="1" ht="11.25">
      <c r="B762" s="27" t="s">
        <v>166</v>
      </c>
      <c r="C762" s="321" t="s">
        <v>168</v>
      </c>
      <c r="D762" s="321"/>
      <c r="E762" s="321"/>
      <c r="F762" s="321"/>
      <c r="G762" s="321"/>
      <c r="H762" s="25"/>
      <c r="I762" s="25"/>
      <c r="J762" s="25"/>
    </row>
    <row r="763" spans="2:10" s="20" customFormat="1" ht="10.5">
      <c r="B763" s="21"/>
      <c r="C763" s="330" t="s">
        <v>4</v>
      </c>
      <c r="D763" s="330"/>
      <c r="E763" s="330"/>
      <c r="F763" s="330"/>
      <c r="G763" s="330"/>
      <c r="H763" s="23">
        <f>H764</f>
        <v>47768</v>
      </c>
      <c r="I763" s="23">
        <f>I764</f>
        <v>0</v>
      </c>
      <c r="J763" s="23">
        <f>J764</f>
        <v>47768</v>
      </c>
    </row>
    <row r="764" spans="2:10" s="26" customFormat="1" ht="11.25">
      <c r="B764" s="27"/>
      <c r="C764" s="325" t="s">
        <v>6</v>
      </c>
      <c r="D764" s="325"/>
      <c r="E764" s="325"/>
      <c r="F764" s="325"/>
      <c r="G764" s="325"/>
      <c r="H764" s="25">
        <v>47768</v>
      </c>
      <c r="I764" s="25"/>
      <c r="J764" s="25">
        <f>SUM(H764:I764)</f>
        <v>47768</v>
      </c>
    </row>
    <row r="765" spans="2:10" s="20" customFormat="1" ht="10.5">
      <c r="B765" s="21"/>
      <c r="C765" s="330" t="s">
        <v>8</v>
      </c>
      <c r="D765" s="330"/>
      <c r="E765" s="330"/>
      <c r="F765" s="330"/>
      <c r="G765" s="330"/>
      <c r="H765" s="23">
        <f>H766</f>
        <v>47768</v>
      </c>
      <c r="I765" s="23">
        <f>I766</f>
        <v>0</v>
      </c>
      <c r="J765" s="23">
        <f>J766</f>
        <v>47768</v>
      </c>
    </row>
    <row r="766" spans="3:10" s="26" customFormat="1" ht="11.25">
      <c r="C766" s="321" t="s">
        <v>11</v>
      </c>
      <c r="D766" s="321"/>
      <c r="E766" s="321"/>
      <c r="F766" s="321"/>
      <c r="G766" s="321"/>
      <c r="H766" s="25">
        <v>47768</v>
      </c>
      <c r="I766" s="25"/>
      <c r="J766" s="25">
        <f>SUM(H766:I766)</f>
        <v>47768</v>
      </c>
    </row>
    <row r="767" spans="3:10" s="77" customFormat="1" ht="11.25">
      <c r="C767" s="76"/>
      <c r="D767" s="297" t="s">
        <v>206</v>
      </c>
      <c r="E767" s="297"/>
      <c r="F767" s="297"/>
      <c r="G767" s="297"/>
      <c r="H767" s="41">
        <v>36522</v>
      </c>
      <c r="I767" s="41"/>
      <c r="J767" s="41">
        <f>SUM(H767:I767)</f>
        <v>36522</v>
      </c>
    </row>
    <row r="768" spans="3:10" s="26" customFormat="1" ht="8.25" customHeight="1">
      <c r="C768" s="28"/>
      <c r="D768" s="28"/>
      <c r="E768" s="28"/>
      <c r="F768" s="28"/>
      <c r="G768" s="28"/>
      <c r="H768" s="25"/>
      <c r="I768" s="25"/>
      <c r="J768" s="25"/>
    </row>
    <row r="769" spans="2:10" s="26" customFormat="1" ht="11.25">
      <c r="B769" s="27" t="s">
        <v>165</v>
      </c>
      <c r="C769" s="321" t="s">
        <v>212</v>
      </c>
      <c r="D769" s="321"/>
      <c r="E769" s="321"/>
      <c r="F769" s="321"/>
      <c r="G769" s="321"/>
      <c r="H769" s="25"/>
      <c r="I769" s="25"/>
      <c r="J769" s="25"/>
    </row>
    <row r="770" spans="2:10" s="20" customFormat="1" ht="10.5">
      <c r="B770" s="21"/>
      <c r="C770" s="330" t="s">
        <v>4</v>
      </c>
      <c r="D770" s="330"/>
      <c r="E770" s="330"/>
      <c r="F770" s="330"/>
      <c r="G770" s="330"/>
      <c r="H770" s="23">
        <f>H771+H772+H773+H774</f>
        <v>496277</v>
      </c>
      <c r="I770" s="23">
        <f>I771+I772+I773+I774</f>
        <v>0</v>
      </c>
      <c r="J770" s="23">
        <f>J771+J772+J773+J774</f>
        <v>496277</v>
      </c>
    </row>
    <row r="771" spans="2:10" s="20" customFormat="1" ht="11.25">
      <c r="B771" s="21"/>
      <c r="C771" s="325" t="s">
        <v>5</v>
      </c>
      <c r="D771" s="325"/>
      <c r="E771" s="325"/>
      <c r="F771" s="325"/>
      <c r="G771" s="325"/>
      <c r="H771" s="25">
        <v>3022</v>
      </c>
      <c r="I771" s="25"/>
      <c r="J771" s="25">
        <f>SUM(H771:I771)</f>
        <v>3022</v>
      </c>
    </row>
    <row r="772" spans="2:10" s="26" customFormat="1" ht="11.25">
      <c r="B772" s="27"/>
      <c r="C772" s="325" t="s">
        <v>6</v>
      </c>
      <c r="D772" s="325"/>
      <c r="E772" s="325"/>
      <c r="F772" s="325"/>
      <c r="G772" s="325"/>
      <c r="H772" s="25">
        <v>320701</v>
      </c>
      <c r="I772" s="25"/>
      <c r="J772" s="25">
        <f>SUM(H772:I772)</f>
        <v>320701</v>
      </c>
    </row>
    <row r="773" spans="2:10" s="26" customFormat="1" ht="11.25">
      <c r="B773" s="27"/>
      <c r="C773" s="325" t="s">
        <v>27</v>
      </c>
      <c r="D773" s="341"/>
      <c r="E773" s="341"/>
      <c r="F773" s="341"/>
      <c r="G773" s="341"/>
      <c r="H773" s="25">
        <v>146117</v>
      </c>
      <c r="I773" s="25"/>
      <c r="J773" s="25">
        <f>SUM(H773:I773)</f>
        <v>146117</v>
      </c>
    </row>
    <row r="774" spans="2:10" s="26" customFormat="1" ht="11.25">
      <c r="B774" s="27"/>
      <c r="C774" s="325" t="s">
        <v>7</v>
      </c>
      <c r="D774" s="325"/>
      <c r="E774" s="325"/>
      <c r="F774" s="325"/>
      <c r="G774" s="325"/>
      <c r="H774" s="25">
        <v>26437</v>
      </c>
      <c r="I774" s="25"/>
      <c r="J774" s="25">
        <f>SUM(H774:I774)</f>
        <v>26437</v>
      </c>
    </row>
    <row r="775" spans="2:10" s="20" customFormat="1" ht="10.5">
      <c r="B775" s="21"/>
      <c r="C775" s="330" t="s">
        <v>8</v>
      </c>
      <c r="D775" s="330"/>
      <c r="E775" s="330"/>
      <c r="F775" s="330"/>
      <c r="G775" s="330"/>
      <c r="H775" s="23">
        <f>H776+H778</f>
        <v>496277</v>
      </c>
      <c r="I775" s="23">
        <f>I776+I778</f>
        <v>0</v>
      </c>
      <c r="J775" s="23">
        <f>J776+J778</f>
        <v>496277</v>
      </c>
    </row>
    <row r="776" spans="3:10" s="26" customFormat="1" ht="11.25">
      <c r="C776" s="321" t="s">
        <v>11</v>
      </c>
      <c r="D776" s="321"/>
      <c r="E776" s="321"/>
      <c r="F776" s="321"/>
      <c r="G776" s="321"/>
      <c r="H776" s="25">
        <v>456077</v>
      </c>
      <c r="I776" s="25"/>
      <c r="J776" s="25">
        <f>SUM(H776:I776)</f>
        <v>456077</v>
      </c>
    </row>
    <row r="777" spans="3:10" s="77" customFormat="1" ht="11.25">
      <c r="C777" s="76"/>
      <c r="D777" s="297" t="s">
        <v>206</v>
      </c>
      <c r="E777" s="297"/>
      <c r="F777" s="297"/>
      <c r="G777" s="297"/>
      <c r="H777" s="41">
        <v>244067</v>
      </c>
      <c r="I777" s="41"/>
      <c r="J777" s="41">
        <f>SUM(H777:I777)</f>
        <v>244067</v>
      </c>
    </row>
    <row r="778" spans="3:10" s="26" customFormat="1" ht="11.25">
      <c r="C778" s="321" t="s">
        <v>124</v>
      </c>
      <c r="D778" s="321"/>
      <c r="E778" s="321"/>
      <c r="F778" s="321"/>
      <c r="G778" s="321"/>
      <c r="H778" s="25">
        <v>40200</v>
      </c>
      <c r="I778" s="25"/>
      <c r="J778" s="25">
        <f>SUM(H778:I778)</f>
        <v>40200</v>
      </c>
    </row>
    <row r="779" spans="3:10" s="26" customFormat="1" ht="9" customHeight="1">
      <c r="C779" s="28"/>
      <c r="D779" s="28"/>
      <c r="E779" s="28"/>
      <c r="F779" s="28"/>
      <c r="G779" s="28"/>
      <c r="H779" s="25"/>
      <c r="I779" s="25"/>
      <c r="J779" s="25"/>
    </row>
    <row r="780" spans="2:10" s="33" customFormat="1" ht="21" customHeight="1">
      <c r="B780" s="51" t="s">
        <v>165</v>
      </c>
      <c r="C780" s="302" t="s">
        <v>169</v>
      </c>
      <c r="D780" s="302"/>
      <c r="E780" s="302"/>
      <c r="F780" s="302"/>
      <c r="G780" s="302"/>
      <c r="H780" s="52"/>
      <c r="I780" s="52"/>
      <c r="J780" s="52"/>
    </row>
    <row r="781" spans="2:10" s="20" customFormat="1" ht="10.5">
      <c r="B781" s="21"/>
      <c r="C781" s="330" t="s">
        <v>4</v>
      </c>
      <c r="D781" s="330"/>
      <c r="E781" s="330"/>
      <c r="F781" s="330"/>
      <c r="G781" s="330"/>
      <c r="H781" s="23">
        <f>H782+H783+H784+H785</f>
        <v>756751</v>
      </c>
      <c r="I781" s="23">
        <f>I782+I783+I784+I785</f>
        <v>0</v>
      </c>
      <c r="J781" s="23">
        <f>J782+J783+J784+J785</f>
        <v>756751</v>
      </c>
    </row>
    <row r="782" spans="2:10" s="20" customFormat="1" ht="11.25">
      <c r="B782" s="21"/>
      <c r="C782" s="325" t="s">
        <v>5</v>
      </c>
      <c r="D782" s="325"/>
      <c r="E782" s="325"/>
      <c r="F782" s="325"/>
      <c r="G782" s="325"/>
      <c r="H782" s="25">
        <v>7257</v>
      </c>
      <c r="I782" s="25"/>
      <c r="J782" s="25">
        <f>SUM(H782:I782)</f>
        <v>7257</v>
      </c>
    </row>
    <row r="783" spans="2:10" s="26" customFormat="1" ht="11.25">
      <c r="B783" s="27"/>
      <c r="C783" s="325" t="s">
        <v>6</v>
      </c>
      <c r="D783" s="325"/>
      <c r="E783" s="325"/>
      <c r="F783" s="325"/>
      <c r="G783" s="325"/>
      <c r="H783" s="25">
        <v>378433</v>
      </c>
      <c r="I783" s="25"/>
      <c r="J783" s="25">
        <f>SUM(H783:I783)</f>
        <v>378433</v>
      </c>
    </row>
    <row r="784" spans="2:10" s="26" customFormat="1" ht="11.25">
      <c r="B784" s="27"/>
      <c r="C784" s="325" t="s">
        <v>27</v>
      </c>
      <c r="D784" s="341"/>
      <c r="E784" s="341"/>
      <c r="F784" s="341"/>
      <c r="G784" s="341"/>
      <c r="H784" s="25">
        <v>347731</v>
      </c>
      <c r="I784" s="25"/>
      <c r="J784" s="25">
        <f>SUM(H784:I784)</f>
        <v>347731</v>
      </c>
    </row>
    <row r="785" spans="2:10" s="26" customFormat="1" ht="11.25">
      <c r="B785" s="27"/>
      <c r="C785" s="325" t="s">
        <v>7</v>
      </c>
      <c r="D785" s="325"/>
      <c r="E785" s="325"/>
      <c r="F785" s="325"/>
      <c r="G785" s="325"/>
      <c r="H785" s="25">
        <v>23330</v>
      </c>
      <c r="I785" s="25"/>
      <c r="J785" s="25">
        <f>SUM(H785:I785)</f>
        <v>23330</v>
      </c>
    </row>
    <row r="786" spans="2:10" s="20" customFormat="1" ht="10.5">
      <c r="B786" s="21"/>
      <c r="C786" s="330" t="s">
        <v>8</v>
      </c>
      <c r="D786" s="330"/>
      <c r="E786" s="330"/>
      <c r="F786" s="330"/>
      <c r="G786" s="330"/>
      <c r="H786" s="23">
        <f>H787+H789</f>
        <v>756751</v>
      </c>
      <c r="I786" s="23">
        <f>I787+I789</f>
        <v>0</v>
      </c>
      <c r="J786" s="23">
        <f>J787+J789</f>
        <v>756751</v>
      </c>
    </row>
    <row r="787" spans="3:10" s="26" customFormat="1" ht="11.25">
      <c r="C787" s="321" t="s">
        <v>11</v>
      </c>
      <c r="D787" s="321"/>
      <c r="E787" s="321"/>
      <c r="F787" s="321"/>
      <c r="G787" s="321"/>
      <c r="H787" s="25">
        <v>680906</v>
      </c>
      <c r="I787" s="25"/>
      <c r="J787" s="25">
        <f>SUM(H787:I787)</f>
        <v>680906</v>
      </c>
    </row>
    <row r="788" spans="3:10" s="77" customFormat="1" ht="11.25">
      <c r="C788" s="76"/>
      <c r="D788" s="297" t="s">
        <v>206</v>
      </c>
      <c r="E788" s="297"/>
      <c r="F788" s="297"/>
      <c r="G788" s="297"/>
      <c r="H788" s="41">
        <v>396765</v>
      </c>
      <c r="I788" s="41"/>
      <c r="J788" s="41">
        <f>SUM(H788:I788)</f>
        <v>396765</v>
      </c>
    </row>
    <row r="789" spans="3:10" s="26" customFormat="1" ht="11.25">
      <c r="C789" s="321" t="s">
        <v>124</v>
      </c>
      <c r="D789" s="321"/>
      <c r="E789" s="321"/>
      <c r="F789" s="321"/>
      <c r="G789" s="321"/>
      <c r="H789" s="25">
        <v>75845</v>
      </c>
      <c r="I789" s="25"/>
      <c r="J789" s="25">
        <f>SUM(H789:I789)</f>
        <v>75845</v>
      </c>
    </row>
    <row r="790" spans="2:10" s="20" customFormat="1" ht="10.5" customHeight="1">
      <c r="B790" s="21"/>
      <c r="C790" s="22"/>
      <c r="D790" s="22"/>
      <c r="E790" s="22"/>
      <c r="F790" s="22"/>
      <c r="G790" s="22"/>
      <c r="H790" s="23"/>
      <c r="I790" s="23"/>
      <c r="J790" s="23"/>
    </row>
    <row r="791" spans="2:10" s="20" customFormat="1" ht="10.5" customHeight="1">
      <c r="B791" s="21"/>
      <c r="C791" s="22"/>
      <c r="D791" s="22"/>
      <c r="E791" s="22"/>
      <c r="F791" s="22"/>
      <c r="G791" s="22"/>
      <c r="H791" s="23"/>
      <c r="I791" s="23"/>
      <c r="J791" s="23"/>
    </row>
    <row r="792" spans="2:10" s="20" customFormat="1" ht="10.5" customHeight="1">
      <c r="B792" s="21"/>
      <c r="C792" s="22"/>
      <c r="D792" s="22"/>
      <c r="E792" s="22"/>
      <c r="F792" s="22"/>
      <c r="G792" s="22"/>
      <c r="H792" s="23"/>
      <c r="I792" s="23"/>
      <c r="J792" s="23"/>
    </row>
    <row r="793" spans="2:10" s="6" customFormat="1" ht="50.25" customHeight="1">
      <c r="B793" s="7" t="s">
        <v>1</v>
      </c>
      <c r="C793" s="327" t="s">
        <v>2</v>
      </c>
      <c r="D793" s="327"/>
      <c r="E793" s="327"/>
      <c r="F793" s="327"/>
      <c r="G793" s="327"/>
      <c r="H793" s="8" t="s">
        <v>442</v>
      </c>
      <c r="I793" s="8" t="s">
        <v>440</v>
      </c>
      <c r="J793" s="8" t="s">
        <v>441</v>
      </c>
    </row>
    <row r="794" spans="2:10" s="20" customFormat="1" ht="10.5" customHeight="1">
      <c r="B794" s="21"/>
      <c r="C794" s="22"/>
      <c r="D794" s="22"/>
      <c r="E794" s="22"/>
      <c r="F794" s="22"/>
      <c r="G794" s="22"/>
      <c r="H794" s="23"/>
      <c r="I794" s="23"/>
      <c r="J794" s="23"/>
    </row>
    <row r="795" spans="2:10" s="26" customFormat="1" ht="11.25">
      <c r="B795" s="27" t="s">
        <v>170</v>
      </c>
      <c r="C795" s="321" t="s">
        <v>186</v>
      </c>
      <c r="D795" s="321"/>
      <c r="E795" s="321"/>
      <c r="F795" s="321"/>
      <c r="G795" s="321"/>
      <c r="H795" s="25"/>
      <c r="I795" s="25"/>
      <c r="J795" s="25"/>
    </row>
    <row r="796" spans="2:10" s="20" customFormat="1" ht="10.5">
      <c r="B796" s="21"/>
      <c r="C796" s="330" t="s">
        <v>4</v>
      </c>
      <c r="D796" s="330"/>
      <c r="E796" s="330"/>
      <c r="F796" s="330"/>
      <c r="G796" s="330"/>
      <c r="H796" s="23">
        <f>H797+H798+H799</f>
        <v>520247</v>
      </c>
      <c r="I796" s="23">
        <f>I797+I798+I799</f>
        <v>0</v>
      </c>
      <c r="J796" s="23">
        <f>J797+J798+J799</f>
        <v>520247</v>
      </c>
    </row>
    <row r="797" spans="2:10" s="26" customFormat="1" ht="11.25">
      <c r="B797" s="27"/>
      <c r="C797" s="325" t="s">
        <v>5</v>
      </c>
      <c r="D797" s="325"/>
      <c r="E797" s="325"/>
      <c r="F797" s="325"/>
      <c r="G797" s="325"/>
      <c r="H797" s="25">
        <v>93</v>
      </c>
      <c r="I797" s="25"/>
      <c r="J797" s="25">
        <f>SUM(H797:I797)</f>
        <v>93</v>
      </c>
    </row>
    <row r="798" spans="2:10" s="26" customFormat="1" ht="11.25">
      <c r="B798" s="27"/>
      <c r="C798" s="325" t="s">
        <v>6</v>
      </c>
      <c r="D798" s="325"/>
      <c r="E798" s="325"/>
      <c r="F798" s="325"/>
      <c r="G798" s="325"/>
      <c r="H798" s="25">
        <v>519554</v>
      </c>
      <c r="I798" s="25"/>
      <c r="J798" s="25">
        <f>SUM(H798:I798)</f>
        <v>519554</v>
      </c>
    </row>
    <row r="799" spans="2:10" s="26" customFormat="1" ht="11.25">
      <c r="B799" s="27"/>
      <c r="C799" s="325" t="s">
        <v>7</v>
      </c>
      <c r="D799" s="325"/>
      <c r="E799" s="325"/>
      <c r="F799" s="325"/>
      <c r="G799" s="325"/>
      <c r="H799" s="25">
        <v>600</v>
      </c>
      <c r="I799" s="25"/>
      <c r="J799" s="25">
        <f>SUM(H799:I799)</f>
        <v>600</v>
      </c>
    </row>
    <row r="800" spans="2:10" s="20" customFormat="1" ht="10.5">
      <c r="B800" s="21"/>
      <c r="C800" s="330" t="s">
        <v>8</v>
      </c>
      <c r="D800" s="330"/>
      <c r="E800" s="330"/>
      <c r="F800" s="330"/>
      <c r="G800" s="330"/>
      <c r="H800" s="23">
        <f>H801+H803</f>
        <v>520247</v>
      </c>
      <c r="I800" s="23">
        <f>I801+I803</f>
        <v>0</v>
      </c>
      <c r="J800" s="23">
        <f>J801+J803</f>
        <v>520247</v>
      </c>
    </row>
    <row r="801" spans="3:10" s="26" customFormat="1" ht="11.25">
      <c r="C801" s="321" t="s">
        <v>11</v>
      </c>
      <c r="D801" s="321"/>
      <c r="E801" s="321"/>
      <c r="F801" s="321"/>
      <c r="G801" s="321"/>
      <c r="H801" s="25">
        <v>467142</v>
      </c>
      <c r="I801" s="25"/>
      <c r="J801" s="25">
        <f>SUM(H801:I801)</f>
        <v>467142</v>
      </c>
    </row>
    <row r="802" spans="3:10" s="77" customFormat="1" ht="11.25">
      <c r="C802" s="76"/>
      <c r="D802" s="297" t="s">
        <v>206</v>
      </c>
      <c r="E802" s="297"/>
      <c r="F802" s="297"/>
      <c r="G802" s="297"/>
      <c r="H802" s="41">
        <v>275130</v>
      </c>
      <c r="I802" s="41"/>
      <c r="J802" s="41">
        <f>SUM(H802:I802)</f>
        <v>275130</v>
      </c>
    </row>
    <row r="803" spans="3:10" s="26" customFormat="1" ht="11.25">
      <c r="C803" s="321" t="s">
        <v>124</v>
      </c>
      <c r="D803" s="321"/>
      <c r="E803" s="321"/>
      <c r="F803" s="321"/>
      <c r="G803" s="321"/>
      <c r="H803" s="25">
        <v>53105</v>
      </c>
      <c r="I803" s="25"/>
      <c r="J803" s="25">
        <f>SUM(H803:I803)</f>
        <v>53105</v>
      </c>
    </row>
    <row r="804" spans="2:10" s="20" customFormat="1" ht="8.25" customHeight="1">
      <c r="B804" s="21"/>
      <c r="C804" s="22"/>
      <c r="D804" s="22"/>
      <c r="E804" s="22"/>
      <c r="F804" s="22"/>
      <c r="G804" s="22"/>
      <c r="H804" s="23"/>
      <c r="I804" s="23"/>
      <c r="J804" s="23"/>
    </row>
    <row r="805" spans="2:10" s="42" customFormat="1" ht="11.25">
      <c r="B805" s="43" t="s">
        <v>213</v>
      </c>
      <c r="C805" s="325" t="s">
        <v>35</v>
      </c>
      <c r="D805" s="325"/>
      <c r="E805" s="325"/>
      <c r="F805" s="325"/>
      <c r="G805" s="325"/>
      <c r="H805" s="29"/>
      <c r="I805" s="29"/>
      <c r="J805" s="29"/>
    </row>
    <row r="806" spans="2:10" s="20" customFormat="1" ht="10.5">
      <c r="B806" s="21"/>
      <c r="C806" s="330" t="s">
        <v>4</v>
      </c>
      <c r="D806" s="330"/>
      <c r="E806" s="330"/>
      <c r="F806" s="330"/>
      <c r="G806" s="330"/>
      <c r="H806" s="23">
        <f>H807+H810+H811</f>
        <v>211756</v>
      </c>
      <c r="I806" s="23">
        <f>I807+I810+I811</f>
        <v>0</v>
      </c>
      <c r="J806" s="23">
        <f>J807+J810+J811</f>
        <v>211756</v>
      </c>
    </row>
    <row r="807" spans="2:10" s="20" customFormat="1" ht="11.25">
      <c r="B807" s="21"/>
      <c r="C807" s="325" t="s">
        <v>5</v>
      </c>
      <c r="D807" s="325"/>
      <c r="E807" s="325"/>
      <c r="F807" s="325"/>
      <c r="G807" s="325"/>
      <c r="H807" s="25">
        <f>H808+H809</f>
        <v>16575</v>
      </c>
      <c r="I807" s="25"/>
      <c r="J807" s="25">
        <f>SUM(H807:I807)</f>
        <v>16575</v>
      </c>
    </row>
    <row r="808" spans="2:10" s="77" customFormat="1" ht="11.25">
      <c r="B808" s="75"/>
      <c r="C808" s="332" t="s">
        <v>25</v>
      </c>
      <c r="D808" s="332"/>
      <c r="E808" s="332"/>
      <c r="F808" s="332"/>
      <c r="G808" s="332"/>
      <c r="H808" s="41">
        <v>1</v>
      </c>
      <c r="I808" s="41"/>
      <c r="J808" s="41">
        <f>SUM(H808:I808)</f>
        <v>1</v>
      </c>
    </row>
    <row r="809" spans="2:10" s="77" customFormat="1" ht="11.25">
      <c r="B809" s="75"/>
      <c r="C809" s="332" t="s">
        <v>26</v>
      </c>
      <c r="D809" s="332"/>
      <c r="E809" s="332"/>
      <c r="F809" s="332"/>
      <c r="G809" s="332"/>
      <c r="H809" s="41">
        <v>16574</v>
      </c>
      <c r="I809" s="41"/>
      <c r="J809" s="41">
        <f>SUM(H809:I809)</f>
        <v>16574</v>
      </c>
    </row>
    <row r="810" spans="2:10" s="26" customFormat="1" ht="11.25">
      <c r="B810" s="27"/>
      <c r="C810" s="325" t="s">
        <v>6</v>
      </c>
      <c r="D810" s="325"/>
      <c r="E810" s="325"/>
      <c r="F810" s="325"/>
      <c r="G810" s="325"/>
      <c r="H810" s="25">
        <v>191907</v>
      </c>
      <c r="I810" s="25"/>
      <c r="J810" s="25">
        <f>SUM(H810:I810)</f>
        <v>191907</v>
      </c>
    </row>
    <row r="811" spans="2:10" s="26" customFormat="1" ht="11.25">
      <c r="B811" s="27"/>
      <c r="C811" s="325" t="s">
        <v>7</v>
      </c>
      <c r="D811" s="325"/>
      <c r="E811" s="325"/>
      <c r="F811" s="325"/>
      <c r="G811" s="325"/>
      <c r="H811" s="25">
        <v>3274</v>
      </c>
      <c r="I811" s="25"/>
      <c r="J811" s="25">
        <f>SUM(H811:I811)</f>
        <v>3274</v>
      </c>
    </row>
    <row r="812" spans="2:10" s="20" customFormat="1" ht="10.5">
      <c r="B812" s="21"/>
      <c r="C812" s="330" t="s">
        <v>8</v>
      </c>
      <c r="D812" s="330"/>
      <c r="E812" s="330"/>
      <c r="F812" s="330"/>
      <c r="G812" s="330"/>
      <c r="H812" s="23">
        <f>H813+H815</f>
        <v>211756</v>
      </c>
      <c r="I812" s="23">
        <f>I813+I815</f>
        <v>0</v>
      </c>
      <c r="J812" s="23">
        <f>J813+J815</f>
        <v>211756</v>
      </c>
    </row>
    <row r="813" spans="3:10" s="26" customFormat="1" ht="11.25">
      <c r="C813" s="321" t="s">
        <v>11</v>
      </c>
      <c r="D813" s="321"/>
      <c r="E813" s="321"/>
      <c r="F813" s="321"/>
      <c r="G813" s="321"/>
      <c r="H813" s="25">
        <v>207186</v>
      </c>
      <c r="I813" s="25"/>
      <c r="J813" s="25">
        <f>SUM(H813:I813)</f>
        <v>207186</v>
      </c>
    </row>
    <row r="814" spans="3:10" s="77" customFormat="1" ht="11.25">
      <c r="C814" s="76"/>
      <c r="D814" s="297" t="s">
        <v>206</v>
      </c>
      <c r="E814" s="297"/>
      <c r="F814" s="297"/>
      <c r="G814" s="297"/>
      <c r="H814" s="41">
        <v>110320</v>
      </c>
      <c r="I814" s="41"/>
      <c r="J814" s="41">
        <f>SUM(H814:I814)</f>
        <v>110320</v>
      </c>
    </row>
    <row r="815" spans="3:10" s="26" customFormat="1" ht="11.25">
      <c r="C815" s="321" t="s">
        <v>124</v>
      </c>
      <c r="D815" s="321"/>
      <c r="E815" s="321"/>
      <c r="F815" s="321"/>
      <c r="G815" s="321"/>
      <c r="H815" s="25">
        <v>4570</v>
      </c>
      <c r="I815" s="25"/>
      <c r="J815" s="25">
        <f>SUM(H815:I815)</f>
        <v>4570</v>
      </c>
    </row>
    <row r="816" spans="3:10" s="26" customFormat="1" ht="10.5" customHeight="1">
      <c r="C816" s="28"/>
      <c r="D816" s="28"/>
      <c r="E816" s="28"/>
      <c r="F816" s="28"/>
      <c r="G816" s="28"/>
      <c r="H816" s="25"/>
      <c r="I816" s="25"/>
      <c r="J816" s="25"/>
    </row>
    <row r="817" spans="2:10" s="17" customFormat="1" ht="12">
      <c r="B817" s="18" t="s">
        <v>459</v>
      </c>
      <c r="C817" s="340" t="s">
        <v>460</v>
      </c>
      <c r="D817" s="340"/>
      <c r="E817" s="340"/>
      <c r="F817" s="340"/>
      <c r="G817" s="340"/>
      <c r="H817" s="19"/>
      <c r="I817" s="19"/>
      <c r="J817" s="19"/>
    </row>
    <row r="818" spans="2:10" s="20" customFormat="1" ht="10.5">
      <c r="B818" s="21"/>
      <c r="C818" s="330" t="s">
        <v>4</v>
      </c>
      <c r="D818" s="330"/>
      <c r="E818" s="330"/>
      <c r="F818" s="330"/>
      <c r="G818" s="330"/>
      <c r="H818" s="23">
        <f>H819</f>
        <v>0</v>
      </c>
      <c r="I818" s="23">
        <f>I819</f>
        <v>2000</v>
      </c>
      <c r="J818" s="23">
        <f>J819</f>
        <v>2000</v>
      </c>
    </row>
    <row r="819" spans="2:10" s="44" customFormat="1" ht="11.25">
      <c r="B819" s="45"/>
      <c r="C819" s="325" t="s">
        <v>6</v>
      </c>
      <c r="D819" s="325"/>
      <c r="E819" s="325"/>
      <c r="F819" s="325"/>
      <c r="G819" s="325"/>
      <c r="H819" s="25">
        <v>0</v>
      </c>
      <c r="I819" s="25">
        <v>2000</v>
      </c>
      <c r="J819" s="25">
        <f>SUM(H819:I819)</f>
        <v>2000</v>
      </c>
    </row>
    <row r="820" spans="2:10" s="20" customFormat="1" ht="10.5">
      <c r="B820" s="21"/>
      <c r="C820" s="330" t="s">
        <v>8</v>
      </c>
      <c r="D820" s="330"/>
      <c r="E820" s="330"/>
      <c r="F820" s="330"/>
      <c r="G820" s="330"/>
      <c r="H820" s="23">
        <f>H821</f>
        <v>0</v>
      </c>
      <c r="I820" s="23">
        <f>I821</f>
        <v>2000</v>
      </c>
      <c r="J820" s="23">
        <f>J821</f>
        <v>2000</v>
      </c>
    </row>
    <row r="821" spans="3:10" s="26" customFormat="1" ht="11.25">
      <c r="C821" s="321" t="s">
        <v>11</v>
      </c>
      <c r="D821" s="321"/>
      <c r="E821" s="321"/>
      <c r="F821" s="321"/>
      <c r="G821" s="321"/>
      <c r="H821" s="25">
        <v>0</v>
      </c>
      <c r="I821" s="25">
        <v>2000</v>
      </c>
      <c r="J821" s="25">
        <f>SUM(H821:I821)</f>
        <v>2000</v>
      </c>
    </row>
    <row r="822" spans="3:10" s="26" customFormat="1" ht="9.75" customHeight="1">
      <c r="C822" s="28"/>
      <c r="D822" s="28"/>
      <c r="E822" s="28"/>
      <c r="F822" s="28"/>
      <c r="G822" s="28"/>
      <c r="H822" s="25"/>
      <c r="I822" s="25"/>
      <c r="J822" s="25"/>
    </row>
    <row r="823" spans="2:10" s="17" customFormat="1" ht="12">
      <c r="B823" s="18" t="s">
        <v>166</v>
      </c>
      <c r="C823" s="340" t="s">
        <v>36</v>
      </c>
      <c r="D823" s="340"/>
      <c r="E823" s="340"/>
      <c r="F823" s="340"/>
      <c r="G823" s="340"/>
      <c r="H823" s="19"/>
      <c r="I823" s="19"/>
      <c r="J823" s="19"/>
    </row>
    <row r="824" spans="2:10" s="20" customFormat="1" ht="10.5">
      <c r="B824" s="21"/>
      <c r="C824" s="330" t="s">
        <v>4</v>
      </c>
      <c r="D824" s="330"/>
      <c r="E824" s="330"/>
      <c r="F824" s="330"/>
      <c r="G824" s="330"/>
      <c r="H824" s="23">
        <f>H825+H828+H829+H830</f>
        <v>404515</v>
      </c>
      <c r="I824" s="23">
        <f>I825+I828+I829+I830</f>
        <v>0</v>
      </c>
      <c r="J824" s="23">
        <f>J825+J828+J829+J830</f>
        <v>404515</v>
      </c>
    </row>
    <row r="825" spans="2:10" s="20" customFormat="1" ht="11.25">
      <c r="B825" s="21"/>
      <c r="C825" s="325" t="s">
        <v>187</v>
      </c>
      <c r="D825" s="325"/>
      <c r="E825" s="325"/>
      <c r="F825" s="325"/>
      <c r="G825" s="325"/>
      <c r="H825" s="25">
        <f>H826+H827</f>
        <v>14738</v>
      </c>
      <c r="I825" s="25"/>
      <c r="J825" s="25">
        <f>J826+J827</f>
        <v>14738</v>
      </c>
    </row>
    <row r="826" spans="2:10" s="89" customFormat="1" ht="11.25">
      <c r="B826" s="90"/>
      <c r="C826" s="332" t="s">
        <v>185</v>
      </c>
      <c r="D826" s="332"/>
      <c r="E826" s="332"/>
      <c r="F826" s="332"/>
      <c r="G826" s="332"/>
      <c r="H826" s="41">
        <v>5150</v>
      </c>
      <c r="I826" s="41"/>
      <c r="J826" s="41">
        <f>SUM(H826:I826)</f>
        <v>5150</v>
      </c>
    </row>
    <row r="827" spans="2:10" s="89" customFormat="1" ht="11.25">
      <c r="B827" s="90"/>
      <c r="C827" s="332" t="s">
        <v>188</v>
      </c>
      <c r="D827" s="332"/>
      <c r="E827" s="332"/>
      <c r="F827" s="332"/>
      <c r="G827" s="332"/>
      <c r="H827" s="41">
        <v>9588</v>
      </c>
      <c r="I827" s="41"/>
      <c r="J827" s="41">
        <f>SUM(H827:I827)</f>
        <v>9588</v>
      </c>
    </row>
    <row r="828" spans="2:10" s="44" customFormat="1" ht="11.25">
      <c r="B828" s="45"/>
      <c r="C828" s="325" t="s">
        <v>6</v>
      </c>
      <c r="D828" s="325"/>
      <c r="E828" s="325"/>
      <c r="F828" s="325"/>
      <c r="G828" s="325"/>
      <c r="H828" s="25">
        <v>137000</v>
      </c>
      <c r="I828" s="25"/>
      <c r="J828" s="25">
        <f>SUM(H828:I828)</f>
        <v>137000</v>
      </c>
    </row>
    <row r="829" spans="2:10" s="44" customFormat="1" ht="11.25">
      <c r="B829" s="45"/>
      <c r="C829" s="325" t="s">
        <v>27</v>
      </c>
      <c r="D829" s="341"/>
      <c r="E829" s="341"/>
      <c r="F829" s="341"/>
      <c r="G829" s="341"/>
      <c r="H829" s="25">
        <v>239437</v>
      </c>
      <c r="I829" s="25"/>
      <c r="J829" s="25">
        <f>SUM(H829:I829)</f>
        <v>239437</v>
      </c>
    </row>
    <row r="830" spans="2:10" s="26" customFormat="1" ht="11.25">
      <c r="B830" s="27"/>
      <c r="C830" s="325" t="s">
        <v>7</v>
      </c>
      <c r="D830" s="325"/>
      <c r="E830" s="325"/>
      <c r="F830" s="325"/>
      <c r="G830" s="325"/>
      <c r="H830" s="25">
        <v>13340</v>
      </c>
      <c r="I830" s="25"/>
      <c r="J830" s="25">
        <f>SUM(H830:I830)</f>
        <v>13340</v>
      </c>
    </row>
    <row r="831" spans="2:10" s="20" customFormat="1" ht="10.5">
      <c r="B831" s="21"/>
      <c r="C831" s="330" t="s">
        <v>8</v>
      </c>
      <c r="D831" s="330"/>
      <c r="E831" s="330"/>
      <c r="F831" s="330"/>
      <c r="G831" s="330"/>
      <c r="H831" s="23">
        <f>H832+H834</f>
        <v>404515</v>
      </c>
      <c r="I831" s="23">
        <f>I832+I834</f>
        <v>0</v>
      </c>
      <c r="J831" s="23">
        <f>J832+J834</f>
        <v>404515</v>
      </c>
    </row>
    <row r="832" spans="3:10" s="26" customFormat="1" ht="11.25">
      <c r="C832" s="321" t="s">
        <v>11</v>
      </c>
      <c r="D832" s="321"/>
      <c r="E832" s="321"/>
      <c r="F832" s="321"/>
      <c r="G832" s="321"/>
      <c r="H832" s="25">
        <v>381015</v>
      </c>
      <c r="I832" s="25"/>
      <c r="J832" s="25">
        <f>SUM(H832:I832)</f>
        <v>381015</v>
      </c>
    </row>
    <row r="833" spans="3:10" s="77" customFormat="1" ht="11.25">
      <c r="C833" s="76"/>
      <c r="D833" s="297" t="s">
        <v>206</v>
      </c>
      <c r="E833" s="297"/>
      <c r="F833" s="297"/>
      <c r="G833" s="297"/>
      <c r="H833" s="41">
        <v>246694</v>
      </c>
      <c r="I833" s="41"/>
      <c r="J833" s="41">
        <f>SUM(H833:I833)</f>
        <v>246694</v>
      </c>
    </row>
    <row r="834" spans="3:10" s="26" customFormat="1" ht="11.25">
      <c r="C834" s="321" t="s">
        <v>124</v>
      </c>
      <c r="D834" s="321"/>
      <c r="E834" s="321"/>
      <c r="F834" s="321"/>
      <c r="G834" s="321"/>
      <c r="H834" s="25">
        <v>23500</v>
      </c>
      <c r="I834" s="25"/>
      <c r="J834" s="25">
        <f>SUM(H834:I834)</f>
        <v>23500</v>
      </c>
    </row>
    <row r="835" spans="3:10" s="26" customFormat="1" ht="8.25" customHeight="1">
      <c r="C835" s="28"/>
      <c r="D835" s="28"/>
      <c r="E835" s="28"/>
      <c r="F835" s="28"/>
      <c r="G835" s="28"/>
      <c r="H835" s="25"/>
      <c r="I835" s="25"/>
      <c r="J835" s="25"/>
    </row>
    <row r="836" spans="2:10" s="17" customFormat="1" ht="12">
      <c r="B836" s="18" t="s">
        <v>165</v>
      </c>
      <c r="C836" s="340" t="s">
        <v>37</v>
      </c>
      <c r="D836" s="340"/>
      <c r="E836" s="340"/>
      <c r="F836" s="340"/>
      <c r="G836" s="340"/>
      <c r="H836" s="19"/>
      <c r="I836" s="19"/>
      <c r="J836" s="19"/>
    </row>
    <row r="837" spans="2:10" s="20" customFormat="1" ht="10.5">
      <c r="B837" s="21"/>
      <c r="C837" s="330" t="s">
        <v>4</v>
      </c>
      <c r="D837" s="330"/>
      <c r="E837" s="330"/>
      <c r="F837" s="330"/>
      <c r="G837" s="330"/>
      <c r="H837" s="23">
        <f>H838+H841+H842+H843-H844</f>
        <v>303302</v>
      </c>
      <c r="I837" s="23">
        <f>I838+I841+I842+I843-I844</f>
        <v>-258632</v>
      </c>
      <c r="J837" s="23">
        <f>J838+J841+J842+J843-J844</f>
        <v>44670</v>
      </c>
    </row>
    <row r="838" spans="2:10" s="20" customFormat="1" ht="11.25">
      <c r="B838" s="21"/>
      <c r="C838" s="325" t="s">
        <v>487</v>
      </c>
      <c r="D838" s="325"/>
      <c r="E838" s="325"/>
      <c r="F838" s="325"/>
      <c r="G838" s="325"/>
      <c r="H838" s="25">
        <f>H839+H840</f>
        <v>18114</v>
      </c>
      <c r="I838" s="25">
        <f>I839+I840</f>
        <v>0</v>
      </c>
      <c r="J838" s="25">
        <f aca="true" t="shared" si="14" ref="J838:J844">SUM(H838:I838)</f>
        <v>18114</v>
      </c>
    </row>
    <row r="839" spans="2:10" s="77" customFormat="1" ht="11.25">
      <c r="B839" s="75"/>
      <c r="C839" s="332" t="s">
        <v>185</v>
      </c>
      <c r="D839" s="332"/>
      <c r="E839" s="332"/>
      <c r="F839" s="332"/>
      <c r="G839" s="332"/>
      <c r="H839" s="41">
        <v>4285</v>
      </c>
      <c r="I839" s="41"/>
      <c r="J839" s="41">
        <f t="shared" si="14"/>
        <v>4285</v>
      </c>
    </row>
    <row r="840" spans="2:10" s="77" customFormat="1" ht="11.25">
      <c r="B840" s="75"/>
      <c r="C840" s="332" t="s">
        <v>188</v>
      </c>
      <c r="D840" s="332"/>
      <c r="E840" s="332"/>
      <c r="F840" s="332"/>
      <c r="G840" s="332"/>
      <c r="H840" s="41">
        <v>13829</v>
      </c>
      <c r="I840" s="41"/>
      <c r="J840" s="41">
        <f t="shared" si="14"/>
        <v>13829</v>
      </c>
    </row>
    <row r="841" spans="2:10" s="26" customFormat="1" ht="11.25">
      <c r="B841" s="27"/>
      <c r="C841" s="325" t="s">
        <v>6</v>
      </c>
      <c r="D841" s="325"/>
      <c r="E841" s="325"/>
      <c r="F841" s="325"/>
      <c r="G841" s="325"/>
      <c r="H841" s="25">
        <v>244315</v>
      </c>
      <c r="I841" s="25">
        <v>-212310</v>
      </c>
      <c r="J841" s="25">
        <f t="shared" si="14"/>
        <v>32005</v>
      </c>
    </row>
    <row r="842" spans="2:10" s="26" customFormat="1" ht="11.25">
      <c r="B842" s="27"/>
      <c r="C842" s="325" t="s">
        <v>27</v>
      </c>
      <c r="D842" s="341"/>
      <c r="E842" s="341"/>
      <c r="F842" s="341"/>
      <c r="G842" s="341"/>
      <c r="H842" s="25">
        <v>21265</v>
      </c>
      <c r="I842" s="25">
        <v>-15949</v>
      </c>
      <c r="J842" s="25">
        <f t="shared" si="14"/>
        <v>5316</v>
      </c>
    </row>
    <row r="843" spans="2:10" s="26" customFormat="1" ht="11.25">
      <c r="B843" s="27"/>
      <c r="C843" s="325" t="s">
        <v>7</v>
      </c>
      <c r="D843" s="325"/>
      <c r="E843" s="325"/>
      <c r="F843" s="325"/>
      <c r="G843" s="325"/>
      <c r="H843" s="25">
        <v>19608</v>
      </c>
      <c r="I843" s="25">
        <v>-15791</v>
      </c>
      <c r="J843" s="25">
        <f t="shared" si="14"/>
        <v>3817</v>
      </c>
    </row>
    <row r="844" spans="2:10" s="26" customFormat="1" ht="11.25">
      <c r="B844" s="27"/>
      <c r="C844" s="325" t="s">
        <v>488</v>
      </c>
      <c r="D844" s="325"/>
      <c r="E844" s="325"/>
      <c r="F844" s="325"/>
      <c r="G844" s="325"/>
      <c r="H844" s="25">
        <v>0</v>
      </c>
      <c r="I844" s="25">
        <v>14582</v>
      </c>
      <c r="J844" s="25">
        <f t="shared" si="14"/>
        <v>14582</v>
      </c>
    </row>
    <row r="845" spans="2:10" s="20" customFormat="1" ht="10.5">
      <c r="B845" s="21"/>
      <c r="C845" s="330" t="s">
        <v>8</v>
      </c>
      <c r="D845" s="330"/>
      <c r="E845" s="330"/>
      <c r="F845" s="330"/>
      <c r="G845" s="330"/>
      <c r="H845" s="23">
        <f>H846+H848</f>
        <v>303302</v>
      </c>
      <c r="I845" s="23">
        <f>I846+I848</f>
        <v>-258632</v>
      </c>
      <c r="J845" s="23">
        <f>J846+J848</f>
        <v>44670</v>
      </c>
    </row>
    <row r="846" spans="3:10" s="26" customFormat="1" ht="11.25">
      <c r="C846" s="321" t="s">
        <v>11</v>
      </c>
      <c r="D846" s="321"/>
      <c r="E846" s="321"/>
      <c r="F846" s="321"/>
      <c r="G846" s="321"/>
      <c r="H846" s="25">
        <v>301612</v>
      </c>
      <c r="I846" s="25">
        <v>-256942</v>
      </c>
      <c r="J846" s="25">
        <f>SUM(H846:I846)</f>
        <v>44670</v>
      </c>
    </row>
    <row r="847" spans="3:10" s="77" customFormat="1" ht="11.25">
      <c r="C847" s="76"/>
      <c r="D847" s="297" t="s">
        <v>206</v>
      </c>
      <c r="E847" s="297"/>
      <c r="F847" s="297"/>
      <c r="G847" s="297"/>
      <c r="H847" s="41">
        <v>84620</v>
      </c>
      <c r="I847" s="41">
        <v>-62680</v>
      </c>
      <c r="J847" s="41">
        <f>SUM(H847:I847)</f>
        <v>21940</v>
      </c>
    </row>
    <row r="848" spans="3:10" s="26" customFormat="1" ht="11.25">
      <c r="C848" s="321" t="s">
        <v>124</v>
      </c>
      <c r="D848" s="321"/>
      <c r="E848" s="321"/>
      <c r="F848" s="321"/>
      <c r="G848" s="321"/>
      <c r="H848" s="25">
        <v>1690</v>
      </c>
      <c r="I848" s="25">
        <v>-1690</v>
      </c>
      <c r="J848" s="25">
        <f>SUM(H848:I848)</f>
        <v>0</v>
      </c>
    </row>
    <row r="849" spans="3:10" s="26" customFormat="1" ht="12" customHeight="1">
      <c r="C849" s="28"/>
      <c r="D849" s="28"/>
      <c r="E849" s="28"/>
      <c r="F849" s="28"/>
      <c r="G849" s="28"/>
      <c r="H849" s="25"/>
      <c r="I849" s="25"/>
      <c r="J849" s="25"/>
    </row>
    <row r="850" spans="2:10" s="17" customFormat="1" ht="12">
      <c r="B850" s="18" t="s">
        <v>165</v>
      </c>
      <c r="C850" s="340" t="s">
        <v>485</v>
      </c>
      <c r="D850" s="340"/>
      <c r="E850" s="340"/>
      <c r="F850" s="340"/>
      <c r="G850" s="340"/>
      <c r="H850" s="19"/>
      <c r="I850" s="19"/>
      <c r="J850" s="19"/>
    </row>
    <row r="851" spans="2:10" s="20" customFormat="1" ht="10.5">
      <c r="B851" s="21"/>
      <c r="C851" s="330" t="s">
        <v>4</v>
      </c>
      <c r="D851" s="330"/>
      <c r="E851" s="330"/>
      <c r="F851" s="330"/>
      <c r="G851" s="330"/>
      <c r="H851" s="23">
        <f>H852+H855+H856+H857</f>
        <v>0</v>
      </c>
      <c r="I851" s="23">
        <f>I852+I855+I856+I857</f>
        <v>258632</v>
      </c>
      <c r="J851" s="23">
        <f>J852+J855+J856+J857</f>
        <v>258632</v>
      </c>
    </row>
    <row r="852" spans="2:10" s="20" customFormat="1" ht="11.25">
      <c r="B852" s="21"/>
      <c r="C852" s="325" t="s">
        <v>486</v>
      </c>
      <c r="D852" s="325"/>
      <c r="E852" s="325"/>
      <c r="F852" s="325"/>
      <c r="G852" s="325"/>
      <c r="H852" s="25">
        <f>H853+H854</f>
        <v>0</v>
      </c>
      <c r="I852" s="25">
        <f>I853+I854</f>
        <v>14582</v>
      </c>
      <c r="J852" s="25">
        <f>J853+J854</f>
        <v>14582</v>
      </c>
    </row>
    <row r="853" spans="2:10" s="77" customFormat="1" ht="11.25">
      <c r="B853" s="75"/>
      <c r="C853" s="332" t="s">
        <v>185</v>
      </c>
      <c r="D853" s="332"/>
      <c r="E853" s="332"/>
      <c r="F853" s="332"/>
      <c r="G853" s="332"/>
      <c r="H853" s="41">
        <v>0</v>
      </c>
      <c r="I853" s="41">
        <v>1783</v>
      </c>
      <c r="J853" s="41">
        <f>SUM(H853:I853)</f>
        <v>1783</v>
      </c>
    </row>
    <row r="854" spans="2:10" s="77" customFormat="1" ht="11.25">
      <c r="B854" s="75"/>
      <c r="C854" s="332" t="s">
        <v>188</v>
      </c>
      <c r="D854" s="332"/>
      <c r="E854" s="332"/>
      <c r="F854" s="332"/>
      <c r="G854" s="332"/>
      <c r="H854" s="41">
        <v>0</v>
      </c>
      <c r="I854" s="41">
        <v>12799</v>
      </c>
      <c r="J854" s="41">
        <f>SUM(H854:I854)</f>
        <v>12799</v>
      </c>
    </row>
    <row r="855" spans="2:10" s="26" customFormat="1" ht="11.25">
      <c r="B855" s="27"/>
      <c r="C855" s="325" t="s">
        <v>6</v>
      </c>
      <c r="D855" s="325"/>
      <c r="E855" s="325"/>
      <c r="F855" s="325"/>
      <c r="G855" s="325"/>
      <c r="H855" s="25">
        <v>0</v>
      </c>
      <c r="I855" s="25">
        <v>212310</v>
      </c>
      <c r="J855" s="25">
        <f>SUM(H855:I855)</f>
        <v>212310</v>
      </c>
    </row>
    <row r="856" spans="2:10" s="26" customFormat="1" ht="12">
      <c r="B856" s="27"/>
      <c r="C856" s="295" t="s">
        <v>27</v>
      </c>
      <c r="D856" s="296"/>
      <c r="E856" s="296"/>
      <c r="F856" s="296"/>
      <c r="G856" s="296"/>
      <c r="H856" s="25">
        <v>0</v>
      </c>
      <c r="I856" s="25">
        <v>15949</v>
      </c>
      <c r="J856" s="25">
        <f>SUM(H856:I856)</f>
        <v>15949</v>
      </c>
    </row>
    <row r="857" spans="2:10" s="26" customFormat="1" ht="11.25">
      <c r="B857" s="27"/>
      <c r="C857" s="325" t="s">
        <v>7</v>
      </c>
      <c r="D857" s="325"/>
      <c r="E857" s="325"/>
      <c r="F857" s="325"/>
      <c r="G857" s="325"/>
      <c r="H857" s="25">
        <v>0</v>
      </c>
      <c r="I857" s="25">
        <v>15791</v>
      </c>
      <c r="J857" s="25">
        <f>SUM(H857:I857)</f>
        <v>15791</v>
      </c>
    </row>
    <row r="858" spans="2:10" s="20" customFormat="1" ht="10.5">
      <c r="B858" s="21"/>
      <c r="C858" s="330" t="s">
        <v>8</v>
      </c>
      <c r="D858" s="330"/>
      <c r="E858" s="330"/>
      <c r="F858" s="330"/>
      <c r="G858" s="330"/>
      <c r="H858" s="23">
        <f>H859+H861</f>
        <v>0</v>
      </c>
      <c r="I858" s="23">
        <f>I859+I861</f>
        <v>258632</v>
      </c>
      <c r="J858" s="23">
        <f>J859+J861</f>
        <v>258632</v>
      </c>
    </row>
    <row r="859" spans="3:10" s="26" customFormat="1" ht="11.25">
      <c r="C859" s="321" t="s">
        <v>11</v>
      </c>
      <c r="D859" s="321"/>
      <c r="E859" s="321"/>
      <c r="F859" s="321"/>
      <c r="G859" s="321"/>
      <c r="H859" s="25">
        <v>0</v>
      </c>
      <c r="I859" s="25">
        <f>212310+26660+17732</f>
        <v>256702</v>
      </c>
      <c r="J859" s="25">
        <f>SUM(H859:I859)</f>
        <v>256702</v>
      </c>
    </row>
    <row r="860" spans="3:10" s="77" customFormat="1" ht="11.25">
      <c r="C860" s="76"/>
      <c r="D860" s="297" t="s">
        <v>206</v>
      </c>
      <c r="E860" s="297"/>
      <c r="F860" s="297"/>
      <c r="G860" s="297"/>
      <c r="H860" s="41">
        <v>0</v>
      </c>
      <c r="I860" s="41">
        <f>121029+3044+14290</f>
        <v>138363</v>
      </c>
      <c r="J860" s="41">
        <f>SUM(H860:I860)</f>
        <v>138363</v>
      </c>
    </row>
    <row r="861" spans="3:10" s="26" customFormat="1" ht="11.25">
      <c r="C861" s="321" t="s">
        <v>124</v>
      </c>
      <c r="D861" s="321"/>
      <c r="E861" s="321"/>
      <c r="F861" s="321"/>
      <c r="G861" s="321"/>
      <c r="H861" s="25">
        <v>0</v>
      </c>
      <c r="I861" s="25">
        <v>1930</v>
      </c>
      <c r="J861" s="25">
        <f>SUM(H861:I861)</f>
        <v>1930</v>
      </c>
    </row>
    <row r="862" spans="3:10" s="26" customFormat="1" ht="12" customHeight="1">
      <c r="C862" s="28"/>
      <c r="D862" s="28"/>
      <c r="E862" s="28"/>
      <c r="F862" s="28"/>
      <c r="G862" s="28"/>
      <c r="H862" s="25"/>
      <c r="I862" s="25"/>
      <c r="J862" s="25"/>
    </row>
    <row r="863" spans="2:10" s="6" customFormat="1" ht="50.25" customHeight="1">
      <c r="B863" s="7" t="s">
        <v>1</v>
      </c>
      <c r="C863" s="327" t="s">
        <v>2</v>
      </c>
      <c r="D863" s="327"/>
      <c r="E863" s="327"/>
      <c r="F863" s="327"/>
      <c r="G863" s="327"/>
      <c r="H863" s="8" t="s">
        <v>442</v>
      </c>
      <c r="I863" s="8" t="s">
        <v>440</v>
      </c>
      <c r="J863" s="8" t="s">
        <v>441</v>
      </c>
    </row>
    <row r="864" spans="3:10" s="26" customFormat="1" ht="15.75" customHeight="1">
      <c r="C864" s="28"/>
      <c r="D864" s="28"/>
      <c r="E864" s="28"/>
      <c r="F864" s="28"/>
      <c r="G864" s="28"/>
      <c r="H864" s="25"/>
      <c r="I864" s="25"/>
      <c r="J864" s="25"/>
    </row>
    <row r="865" spans="2:10" s="17" customFormat="1" ht="12">
      <c r="B865" s="18" t="s">
        <v>165</v>
      </c>
      <c r="C865" s="340" t="s">
        <v>38</v>
      </c>
      <c r="D865" s="340"/>
      <c r="E865" s="340"/>
      <c r="F865" s="340"/>
      <c r="G865" s="340"/>
      <c r="H865" s="19"/>
      <c r="I865" s="19"/>
      <c r="J865" s="19"/>
    </row>
    <row r="866" spans="2:10" s="20" customFormat="1" ht="10.5">
      <c r="B866" s="21"/>
      <c r="C866" s="330" t="s">
        <v>4</v>
      </c>
      <c r="D866" s="330"/>
      <c r="E866" s="330"/>
      <c r="F866" s="330"/>
      <c r="G866" s="330"/>
      <c r="H866" s="23">
        <f>H867+H868+H869+H870</f>
        <v>316344</v>
      </c>
      <c r="I866" s="23">
        <f>I867+I868+I869+I870</f>
        <v>0</v>
      </c>
      <c r="J866" s="23">
        <f>J867+J868+J869+J870</f>
        <v>316344</v>
      </c>
    </row>
    <row r="867" spans="2:10" s="20" customFormat="1" ht="11.25">
      <c r="B867" s="21"/>
      <c r="C867" s="325" t="s">
        <v>5</v>
      </c>
      <c r="D867" s="325"/>
      <c r="E867" s="325"/>
      <c r="F867" s="325"/>
      <c r="G867" s="325"/>
      <c r="H867" s="25">
        <v>4583</v>
      </c>
      <c r="I867" s="25"/>
      <c r="J867" s="25">
        <f>SUM(H867:I867)</f>
        <v>4583</v>
      </c>
    </row>
    <row r="868" spans="2:10" s="26" customFormat="1" ht="11.25">
      <c r="B868" s="27"/>
      <c r="C868" s="325" t="s">
        <v>6</v>
      </c>
      <c r="D868" s="325"/>
      <c r="E868" s="325"/>
      <c r="F868" s="325"/>
      <c r="G868" s="325"/>
      <c r="H868" s="25">
        <v>175990</v>
      </c>
      <c r="I868" s="25"/>
      <c r="J868" s="25">
        <f>SUM(H868:I868)</f>
        <v>175990</v>
      </c>
    </row>
    <row r="869" spans="2:10" s="26" customFormat="1" ht="11.25">
      <c r="B869" s="27"/>
      <c r="C869" s="325" t="s">
        <v>27</v>
      </c>
      <c r="D869" s="341"/>
      <c r="E869" s="341"/>
      <c r="F869" s="341"/>
      <c r="G869" s="341"/>
      <c r="H869" s="25">
        <v>132971</v>
      </c>
      <c r="I869" s="25"/>
      <c r="J869" s="25">
        <f>SUM(H869:I869)</f>
        <v>132971</v>
      </c>
    </row>
    <row r="870" spans="2:10" s="26" customFormat="1" ht="11.25">
      <c r="B870" s="27"/>
      <c r="C870" s="325" t="s">
        <v>7</v>
      </c>
      <c r="D870" s="325"/>
      <c r="E870" s="325"/>
      <c r="F870" s="325"/>
      <c r="G870" s="325"/>
      <c r="H870" s="25">
        <v>2800</v>
      </c>
      <c r="I870" s="25"/>
      <c r="J870" s="25">
        <f>SUM(H870:I870)</f>
        <v>2800</v>
      </c>
    </row>
    <row r="871" spans="2:10" s="20" customFormat="1" ht="10.5">
      <c r="B871" s="21"/>
      <c r="C871" s="330" t="s">
        <v>8</v>
      </c>
      <c r="D871" s="330"/>
      <c r="E871" s="330"/>
      <c r="F871" s="330"/>
      <c r="G871" s="330"/>
      <c r="H871" s="23">
        <f>H872+H874</f>
        <v>316344</v>
      </c>
      <c r="I871" s="23">
        <f>I872+I874</f>
        <v>0</v>
      </c>
      <c r="J871" s="23">
        <f>J872+J874</f>
        <v>316344</v>
      </c>
    </row>
    <row r="872" spans="3:10" s="26" customFormat="1" ht="11.25">
      <c r="C872" s="321" t="s">
        <v>11</v>
      </c>
      <c r="D872" s="321"/>
      <c r="E872" s="321"/>
      <c r="F872" s="321"/>
      <c r="G872" s="321"/>
      <c r="H872" s="25">
        <f>281779-7383</f>
        <v>274396</v>
      </c>
      <c r="I872" s="25"/>
      <c r="J872" s="25">
        <f>SUM(H872:I872)</f>
        <v>274396</v>
      </c>
    </row>
    <row r="873" spans="3:10" s="77" customFormat="1" ht="11.25">
      <c r="C873" s="76"/>
      <c r="D873" s="297" t="s">
        <v>206</v>
      </c>
      <c r="E873" s="297"/>
      <c r="F873" s="297"/>
      <c r="G873" s="297"/>
      <c r="H873" s="41">
        <v>154144</v>
      </c>
      <c r="I873" s="41"/>
      <c r="J873" s="41">
        <f>SUM(H873:I873)</f>
        <v>154144</v>
      </c>
    </row>
    <row r="874" spans="3:10" s="26" customFormat="1" ht="11.25">
      <c r="C874" s="321" t="s">
        <v>124</v>
      </c>
      <c r="D874" s="321"/>
      <c r="E874" s="321"/>
      <c r="F874" s="321"/>
      <c r="G874" s="321"/>
      <c r="H874" s="25">
        <f>34565+7383</f>
        <v>41948</v>
      </c>
      <c r="I874" s="25"/>
      <c r="J874" s="25">
        <f>SUM(H874:I874)</f>
        <v>41948</v>
      </c>
    </row>
    <row r="875" spans="3:10" s="26" customFormat="1" ht="15.75" customHeight="1">
      <c r="C875" s="28"/>
      <c r="D875" s="28"/>
      <c r="E875" s="28"/>
      <c r="F875" s="28"/>
      <c r="G875" s="28"/>
      <c r="H875" s="25"/>
      <c r="I875" s="25"/>
      <c r="J875" s="25"/>
    </row>
    <row r="876" spans="2:8" s="46" customFormat="1" ht="23.25" customHeight="1">
      <c r="B876" s="34" t="s">
        <v>214</v>
      </c>
      <c r="C876" s="309" t="s">
        <v>443</v>
      </c>
      <c r="D876" s="302"/>
      <c r="E876" s="302"/>
      <c r="F876" s="302"/>
      <c r="G876" s="302"/>
      <c r="H876" s="52"/>
    </row>
    <row r="877" spans="2:10" s="20" customFormat="1" ht="10.5">
      <c r="B877" s="21"/>
      <c r="C877" s="330" t="s">
        <v>4</v>
      </c>
      <c r="D877" s="330"/>
      <c r="E877" s="330"/>
      <c r="F877" s="330"/>
      <c r="G877" s="330"/>
      <c r="H877" s="23">
        <f>H878</f>
        <v>192000</v>
      </c>
      <c r="I877" s="23">
        <f>I878</f>
        <v>0</v>
      </c>
      <c r="J877" s="23">
        <f>J878</f>
        <v>192000</v>
      </c>
    </row>
    <row r="878" spans="2:10" s="26" customFormat="1" ht="11.25">
      <c r="B878" s="27"/>
      <c r="C878" s="325" t="s">
        <v>6</v>
      </c>
      <c r="D878" s="325"/>
      <c r="E878" s="325"/>
      <c r="F878" s="325"/>
      <c r="G878" s="325"/>
      <c r="H878" s="25">
        <v>192000</v>
      </c>
      <c r="I878" s="25"/>
      <c r="J878" s="25">
        <f>SUM(H878:I878)</f>
        <v>192000</v>
      </c>
    </row>
    <row r="879" spans="2:10" s="20" customFormat="1" ht="10.5">
      <c r="B879" s="21"/>
      <c r="C879" s="330" t="s">
        <v>8</v>
      </c>
      <c r="D879" s="330"/>
      <c r="E879" s="330"/>
      <c r="F879" s="330"/>
      <c r="G879" s="330"/>
      <c r="H879" s="23">
        <f>H880</f>
        <v>192000</v>
      </c>
      <c r="I879" s="23">
        <f>I880</f>
        <v>0</v>
      </c>
      <c r="J879" s="23">
        <f>J880</f>
        <v>192000</v>
      </c>
    </row>
    <row r="880" spans="3:10" s="26" customFormat="1" ht="11.25">
      <c r="C880" s="321" t="s">
        <v>11</v>
      </c>
      <c r="D880" s="321"/>
      <c r="E880" s="321"/>
      <c r="F880" s="321"/>
      <c r="G880" s="321"/>
      <c r="H880" s="25">
        <v>192000</v>
      </c>
      <c r="I880" s="25"/>
      <c r="J880" s="25">
        <f>SUM(H880:I880)</f>
        <v>192000</v>
      </c>
    </row>
    <row r="881" spans="3:10" s="26" customFormat="1" ht="16.5" customHeight="1">
      <c r="C881" s="309"/>
      <c r="D881" s="302"/>
      <c r="E881" s="302"/>
      <c r="F881" s="302"/>
      <c r="G881" s="302"/>
      <c r="H881" s="25"/>
      <c r="I881" s="25"/>
      <c r="J881" s="25"/>
    </row>
    <row r="882" spans="2:8" s="17" customFormat="1" ht="21.75" customHeight="1">
      <c r="B882" s="18" t="s">
        <v>214</v>
      </c>
      <c r="C882" s="309" t="s">
        <v>444</v>
      </c>
      <c r="D882" s="302"/>
      <c r="E882" s="302"/>
      <c r="F882" s="302"/>
      <c r="G882" s="302"/>
      <c r="H882" s="25"/>
    </row>
    <row r="883" spans="2:10" s="20" customFormat="1" ht="10.5">
      <c r="B883" s="21"/>
      <c r="C883" s="330" t="s">
        <v>4</v>
      </c>
      <c r="D883" s="330"/>
      <c r="E883" s="330"/>
      <c r="F883" s="330"/>
      <c r="G883" s="330"/>
      <c r="H883" s="23">
        <f>H884</f>
        <v>96600</v>
      </c>
      <c r="I883" s="23">
        <f>I884</f>
        <v>0</v>
      </c>
      <c r="J883" s="23">
        <f>J884</f>
        <v>96600</v>
      </c>
    </row>
    <row r="884" spans="2:10" s="26" customFormat="1" ht="11.25">
      <c r="B884" s="27"/>
      <c r="C884" s="325" t="s">
        <v>6</v>
      </c>
      <c r="D884" s="325"/>
      <c r="E884" s="325"/>
      <c r="F884" s="325"/>
      <c r="G884" s="325"/>
      <c r="H884" s="25">
        <v>96600</v>
      </c>
      <c r="I884" s="25"/>
      <c r="J884" s="25">
        <f>SUM(H884:I884)</f>
        <v>96600</v>
      </c>
    </row>
    <row r="885" spans="2:10" s="20" customFormat="1" ht="10.5">
      <c r="B885" s="21"/>
      <c r="C885" s="330" t="s">
        <v>8</v>
      </c>
      <c r="D885" s="330"/>
      <c r="E885" s="330"/>
      <c r="F885" s="330"/>
      <c r="G885" s="330"/>
      <c r="H885" s="23">
        <f>H886</f>
        <v>96600</v>
      </c>
      <c r="I885" s="23">
        <f>I886</f>
        <v>0</v>
      </c>
      <c r="J885" s="23">
        <f>J886</f>
        <v>96600</v>
      </c>
    </row>
    <row r="886" spans="3:10" s="26" customFormat="1" ht="11.25">
      <c r="C886" s="321" t="s">
        <v>11</v>
      </c>
      <c r="D886" s="321"/>
      <c r="E886" s="321"/>
      <c r="F886" s="321"/>
      <c r="G886" s="321"/>
      <c r="H886" s="25">
        <v>96600</v>
      </c>
      <c r="I886" s="25"/>
      <c r="J886" s="25">
        <f>SUM(H886:I886)</f>
        <v>96600</v>
      </c>
    </row>
    <row r="887" spans="3:10" s="26" customFormat="1" ht="20.25" customHeight="1">
      <c r="C887" s="28"/>
      <c r="D887" s="28"/>
      <c r="E887" s="28"/>
      <c r="F887" s="28"/>
      <c r="G887" s="28"/>
      <c r="H887" s="25"/>
      <c r="I887" s="25"/>
      <c r="J887" s="25"/>
    </row>
    <row r="888" spans="2:8" s="46" customFormat="1" ht="12" customHeight="1">
      <c r="B888" s="34" t="s">
        <v>214</v>
      </c>
      <c r="C888" s="309" t="s">
        <v>39</v>
      </c>
      <c r="D888" s="309"/>
      <c r="E888" s="309"/>
      <c r="F888" s="309"/>
      <c r="G888" s="309"/>
      <c r="H888" s="309"/>
    </row>
    <row r="889" spans="2:10" s="20" customFormat="1" ht="10.5">
      <c r="B889" s="21"/>
      <c r="C889" s="330" t="s">
        <v>4</v>
      </c>
      <c r="D889" s="330"/>
      <c r="E889" s="330"/>
      <c r="F889" s="330"/>
      <c r="G889" s="330"/>
      <c r="H889" s="23">
        <f>H890</f>
        <v>17000</v>
      </c>
      <c r="I889" s="23">
        <f>I890</f>
        <v>0</v>
      </c>
      <c r="J889" s="23">
        <f>J890</f>
        <v>17000</v>
      </c>
    </row>
    <row r="890" spans="2:10" s="26" customFormat="1" ht="11.25">
      <c r="B890" s="27"/>
      <c r="C890" s="325" t="s">
        <v>6</v>
      </c>
      <c r="D890" s="325"/>
      <c r="E890" s="325"/>
      <c r="F890" s="325"/>
      <c r="G890" s="325"/>
      <c r="H890" s="25">
        <v>17000</v>
      </c>
      <c r="I890" s="25"/>
      <c r="J890" s="25">
        <f>SUM(H890:I890)</f>
        <v>17000</v>
      </c>
    </row>
    <row r="891" spans="2:10" s="20" customFormat="1" ht="10.5">
      <c r="B891" s="21"/>
      <c r="C891" s="330" t="s">
        <v>8</v>
      </c>
      <c r="D891" s="330"/>
      <c r="E891" s="330"/>
      <c r="F891" s="330"/>
      <c r="G891" s="330"/>
      <c r="H891" s="23">
        <f>H892</f>
        <v>17000</v>
      </c>
      <c r="I891" s="23">
        <f>I892</f>
        <v>0</v>
      </c>
      <c r="J891" s="23">
        <f>J892</f>
        <v>17000</v>
      </c>
    </row>
    <row r="892" spans="3:10" s="26" customFormat="1" ht="11.25">
      <c r="C892" s="321" t="s">
        <v>11</v>
      </c>
      <c r="D892" s="321"/>
      <c r="E892" s="321"/>
      <c r="F892" s="321"/>
      <c r="G892" s="321"/>
      <c r="H892" s="25">
        <v>17000</v>
      </c>
      <c r="I892" s="25"/>
      <c r="J892" s="25">
        <f>SUM(H892:I892)</f>
        <v>17000</v>
      </c>
    </row>
    <row r="894" spans="3:10" s="26" customFormat="1" ht="15.75" customHeight="1">
      <c r="C894" s="28"/>
      <c r="D894" s="28"/>
      <c r="E894" s="28"/>
      <c r="F894" s="28"/>
      <c r="G894" s="28"/>
      <c r="H894" s="25"/>
      <c r="I894" s="25"/>
      <c r="J894" s="25"/>
    </row>
    <row r="895" spans="2:10" s="47" customFormat="1" ht="17.25" customHeight="1">
      <c r="B895" s="48" t="s">
        <v>160</v>
      </c>
      <c r="C895" s="310" t="s">
        <v>46</v>
      </c>
      <c r="D895" s="310"/>
      <c r="E895" s="310"/>
      <c r="F895" s="310"/>
      <c r="G895" s="310"/>
      <c r="H895" s="49">
        <f>H898+H938+H949+H959+H970+H989+H998+H980+H1008+H1016+H1022+H1028</f>
        <v>3451734</v>
      </c>
      <c r="I895" s="49">
        <f>I898+I938+I949+I959+I970+I989+I998+I980+I1008+I1016+I1022+I1028</f>
        <v>46806</v>
      </c>
      <c r="J895" s="49">
        <f>J898+J938+J949+J959+J970+J989+J998+J980+J1008+J1016+J1022+J1028</f>
        <v>3498540</v>
      </c>
    </row>
    <row r="896" spans="2:10" s="47" customFormat="1" ht="15" customHeight="1">
      <c r="B896" s="35"/>
      <c r="C896" s="36"/>
      <c r="D896" s="36"/>
      <c r="E896" s="36"/>
      <c r="F896" s="36"/>
      <c r="G896" s="36"/>
      <c r="H896" s="37"/>
      <c r="I896" s="37"/>
      <c r="J896" s="37"/>
    </row>
    <row r="897" spans="2:10" s="17" customFormat="1" ht="12">
      <c r="B897" s="79" t="s">
        <v>160</v>
      </c>
      <c r="C897" s="340" t="s">
        <v>47</v>
      </c>
      <c r="D897" s="340"/>
      <c r="E897" s="340"/>
      <c r="F897" s="340"/>
      <c r="G897" s="340"/>
      <c r="H897" s="19"/>
      <c r="I897" s="19"/>
      <c r="J897" s="19"/>
    </row>
    <row r="898" spans="2:10" s="20" customFormat="1" ht="10.5">
      <c r="B898" s="21"/>
      <c r="C898" s="330" t="s">
        <v>4</v>
      </c>
      <c r="D898" s="330"/>
      <c r="E898" s="330"/>
      <c r="F898" s="330"/>
      <c r="G898" s="330"/>
      <c r="H898" s="23">
        <f>H899+H900+H901+H902</f>
        <v>1829670</v>
      </c>
      <c r="I898" s="23">
        <f>I899+I900+I901+I902</f>
        <v>8947</v>
      </c>
      <c r="J898" s="23">
        <f>J899+J900+J901+J902</f>
        <v>1838617</v>
      </c>
    </row>
    <row r="899" spans="2:10" s="20" customFormat="1" ht="11.25">
      <c r="B899" s="21"/>
      <c r="C899" s="325" t="s">
        <v>5</v>
      </c>
      <c r="D899" s="325"/>
      <c r="E899" s="325"/>
      <c r="F899" s="325"/>
      <c r="G899" s="325"/>
      <c r="H899" s="25">
        <f>H929</f>
        <v>807</v>
      </c>
      <c r="I899" s="25">
        <f>I929</f>
        <v>0</v>
      </c>
      <c r="J899" s="25">
        <f>J929</f>
        <v>807</v>
      </c>
    </row>
    <row r="900" spans="2:10" s="26" customFormat="1" ht="11.25">
      <c r="B900" s="27"/>
      <c r="C900" s="325" t="s">
        <v>6</v>
      </c>
      <c r="D900" s="325"/>
      <c r="E900" s="325"/>
      <c r="F900" s="325"/>
      <c r="G900" s="325"/>
      <c r="H900" s="25">
        <f>H910+H918+H930</f>
        <v>1747602</v>
      </c>
      <c r="I900" s="25">
        <f>I910+I918+I930</f>
        <v>8947</v>
      </c>
      <c r="J900" s="25">
        <f>J910+J918+J930</f>
        <v>1756549</v>
      </c>
    </row>
    <row r="901" spans="2:10" s="26" customFormat="1" ht="11.25">
      <c r="B901" s="27"/>
      <c r="C901" s="325" t="s">
        <v>7</v>
      </c>
      <c r="D901" s="325"/>
      <c r="E901" s="325"/>
      <c r="F901" s="325"/>
      <c r="G901" s="325"/>
      <c r="H901" s="25">
        <f>H931</f>
        <v>7874</v>
      </c>
      <c r="I901" s="25">
        <f>I931</f>
        <v>0</v>
      </c>
      <c r="J901" s="25">
        <f>J931</f>
        <v>7874</v>
      </c>
    </row>
    <row r="902" spans="2:10" s="26" customFormat="1" ht="11.25">
      <c r="B902" s="27"/>
      <c r="C902" s="325" t="s">
        <v>27</v>
      </c>
      <c r="D902" s="325"/>
      <c r="E902" s="325"/>
      <c r="F902" s="325"/>
      <c r="G902" s="325"/>
      <c r="H902" s="25">
        <f>H911</f>
        <v>73387</v>
      </c>
      <c r="I902" s="25">
        <f>I911</f>
        <v>0</v>
      </c>
      <c r="J902" s="25">
        <f>J911</f>
        <v>73387</v>
      </c>
    </row>
    <row r="903" spans="2:10" s="20" customFormat="1" ht="10.5">
      <c r="B903" s="21"/>
      <c r="C903" s="330" t="s">
        <v>8</v>
      </c>
      <c r="D903" s="330"/>
      <c r="E903" s="330"/>
      <c r="F903" s="330"/>
      <c r="G903" s="330"/>
      <c r="H903" s="23">
        <f>H904+H906</f>
        <v>1829670</v>
      </c>
      <c r="I903" s="23">
        <f>I904+I906</f>
        <v>8947</v>
      </c>
      <c r="J903" s="23">
        <f>J904+J906</f>
        <v>1838617</v>
      </c>
    </row>
    <row r="904" spans="3:10" s="26" customFormat="1" ht="11.25">
      <c r="C904" s="321" t="s">
        <v>11</v>
      </c>
      <c r="D904" s="321"/>
      <c r="E904" s="321"/>
      <c r="F904" s="321"/>
      <c r="G904" s="321"/>
      <c r="H904" s="25">
        <f aca="true" t="shared" si="15" ref="H904:J905">H913+H920+H933</f>
        <v>1795292</v>
      </c>
      <c r="I904" s="25">
        <f t="shared" si="15"/>
        <v>8947</v>
      </c>
      <c r="J904" s="25">
        <f t="shared" si="15"/>
        <v>1804239</v>
      </c>
    </row>
    <row r="905" spans="3:10" s="77" customFormat="1" ht="11.25">
      <c r="C905" s="76"/>
      <c r="D905" s="297" t="s">
        <v>206</v>
      </c>
      <c r="E905" s="297"/>
      <c r="F905" s="297"/>
      <c r="G905" s="297"/>
      <c r="H905" s="41">
        <f t="shared" si="15"/>
        <v>503516</v>
      </c>
      <c r="I905" s="41">
        <f t="shared" si="15"/>
        <v>0</v>
      </c>
      <c r="J905" s="41">
        <f t="shared" si="15"/>
        <v>503516</v>
      </c>
    </row>
    <row r="906" spans="3:10" s="26" customFormat="1" ht="11.25">
      <c r="C906" s="321" t="s">
        <v>124</v>
      </c>
      <c r="D906" s="321"/>
      <c r="E906" s="321"/>
      <c r="F906" s="321"/>
      <c r="G906" s="321"/>
      <c r="H906" s="25">
        <f>H922+H935</f>
        <v>34378</v>
      </c>
      <c r="I906" s="25">
        <f>I922+I935</f>
        <v>0</v>
      </c>
      <c r="J906" s="25">
        <f>J922+J935</f>
        <v>34378</v>
      </c>
    </row>
    <row r="907" spans="3:10" s="26" customFormat="1" ht="9.75" customHeight="1">
      <c r="C907" s="28"/>
      <c r="D907" s="28"/>
      <c r="E907" s="28"/>
      <c r="F907" s="28"/>
      <c r="G907" s="28"/>
      <c r="H907" s="25"/>
      <c r="I907" s="25"/>
      <c r="J907" s="25"/>
    </row>
    <row r="908" spans="2:10" s="26" customFormat="1" ht="12">
      <c r="B908" s="27" t="s">
        <v>174</v>
      </c>
      <c r="C908" s="321" t="s">
        <v>175</v>
      </c>
      <c r="D908" s="321"/>
      <c r="E908" s="321"/>
      <c r="F908" s="321"/>
      <c r="G908" s="321"/>
      <c r="H908" s="53"/>
      <c r="I908" s="53"/>
      <c r="J908" s="53"/>
    </row>
    <row r="909" spans="2:10" s="26" customFormat="1" ht="11.25">
      <c r="B909" s="21"/>
      <c r="C909" s="330" t="s">
        <v>4</v>
      </c>
      <c r="D909" s="330"/>
      <c r="E909" s="330"/>
      <c r="F909" s="330"/>
      <c r="G909" s="330"/>
      <c r="H909" s="23">
        <f>H910+H911</f>
        <v>122311</v>
      </c>
      <c r="I909" s="23">
        <f>I910+I911</f>
        <v>0</v>
      </c>
      <c r="J909" s="23">
        <f>J910+J911</f>
        <v>122311</v>
      </c>
    </row>
    <row r="910" spans="2:10" s="26" customFormat="1" ht="11.25">
      <c r="B910" s="27"/>
      <c r="C910" s="325" t="s">
        <v>6</v>
      </c>
      <c r="D910" s="325"/>
      <c r="E910" s="325"/>
      <c r="F910" s="325"/>
      <c r="G910" s="325"/>
      <c r="H910" s="25">
        <v>48924</v>
      </c>
      <c r="I910" s="25"/>
      <c r="J910" s="25">
        <f>SUM(H910:I910)</f>
        <v>48924</v>
      </c>
    </row>
    <row r="911" spans="2:10" s="26" customFormat="1" ht="11.25">
      <c r="B911" s="27"/>
      <c r="C911" s="325" t="s">
        <v>27</v>
      </c>
      <c r="D911" s="325"/>
      <c r="E911" s="325"/>
      <c r="F911" s="325"/>
      <c r="G911" s="325"/>
      <c r="H911" s="25">
        <v>73387</v>
      </c>
      <c r="I911" s="25"/>
      <c r="J911" s="25">
        <f>SUM(H911:I911)</f>
        <v>73387</v>
      </c>
    </row>
    <row r="912" spans="2:10" s="26" customFormat="1" ht="11.25">
      <c r="B912" s="21"/>
      <c r="C912" s="330" t="s">
        <v>8</v>
      </c>
      <c r="D912" s="330"/>
      <c r="E912" s="330"/>
      <c r="F912" s="330"/>
      <c r="G912" s="330"/>
      <c r="H912" s="23">
        <f>H913</f>
        <v>122311</v>
      </c>
      <c r="I912" s="23">
        <f>I913</f>
        <v>0</v>
      </c>
      <c r="J912" s="23">
        <f>J913</f>
        <v>122311</v>
      </c>
    </row>
    <row r="913" spans="3:10" s="26" customFormat="1" ht="11.25">
      <c r="C913" s="321" t="s">
        <v>11</v>
      </c>
      <c r="D913" s="321"/>
      <c r="E913" s="321"/>
      <c r="F913" s="321"/>
      <c r="G913" s="321"/>
      <c r="H913" s="25">
        <v>122311</v>
      </c>
      <c r="I913" s="25"/>
      <c r="J913" s="25">
        <f>SUM(H913:I913)</f>
        <v>122311</v>
      </c>
    </row>
    <row r="914" spans="3:10" s="77" customFormat="1" ht="11.25">
      <c r="C914" s="76"/>
      <c r="D914" s="297" t="s">
        <v>206</v>
      </c>
      <c r="E914" s="297"/>
      <c r="F914" s="297"/>
      <c r="G914" s="297"/>
      <c r="H914" s="41">
        <v>50709</v>
      </c>
      <c r="I914" s="41"/>
      <c r="J914" s="41">
        <f>SUM(H914:I914)</f>
        <v>50709</v>
      </c>
    </row>
    <row r="915" spans="3:10" s="26" customFormat="1" ht="9.75" customHeight="1">
      <c r="C915" s="28"/>
      <c r="D915" s="28"/>
      <c r="E915" s="28"/>
      <c r="F915" s="28"/>
      <c r="G915" s="28"/>
      <c r="H915" s="25"/>
      <c r="I915" s="25"/>
      <c r="J915" s="25"/>
    </row>
    <row r="916" spans="2:10" s="26" customFormat="1" ht="11.25">
      <c r="B916" s="27" t="s">
        <v>172</v>
      </c>
      <c r="C916" s="321" t="s">
        <v>215</v>
      </c>
      <c r="D916" s="321"/>
      <c r="E916" s="321"/>
      <c r="F916" s="321"/>
      <c r="G916" s="321"/>
      <c r="H916" s="25"/>
      <c r="I916" s="25"/>
      <c r="J916" s="25"/>
    </row>
    <row r="917" spans="2:10" s="20" customFormat="1" ht="10.5">
      <c r="B917" s="21"/>
      <c r="C917" s="330" t="s">
        <v>4</v>
      </c>
      <c r="D917" s="330"/>
      <c r="E917" s="330"/>
      <c r="F917" s="330"/>
      <c r="G917" s="330"/>
      <c r="H917" s="23">
        <f>H918</f>
        <v>1340663</v>
      </c>
      <c r="I917" s="23">
        <f>I918</f>
        <v>8947</v>
      </c>
      <c r="J917" s="23">
        <f>J918</f>
        <v>1349610</v>
      </c>
    </row>
    <row r="918" spans="2:10" s="26" customFormat="1" ht="11.25">
      <c r="B918" s="27"/>
      <c r="C918" s="325" t="s">
        <v>6</v>
      </c>
      <c r="D918" s="325"/>
      <c r="E918" s="325"/>
      <c r="F918" s="325"/>
      <c r="G918" s="325"/>
      <c r="H918" s="25">
        <f>1126912+213751</f>
        <v>1340663</v>
      </c>
      <c r="I918" s="25">
        <f>8947</f>
        <v>8947</v>
      </c>
      <c r="J918" s="25">
        <f>SUM(H918:I918)</f>
        <v>1349610</v>
      </c>
    </row>
    <row r="919" spans="2:10" s="20" customFormat="1" ht="10.5">
      <c r="B919" s="21"/>
      <c r="C919" s="330" t="s">
        <v>8</v>
      </c>
      <c r="D919" s="330"/>
      <c r="E919" s="330"/>
      <c r="F919" s="330"/>
      <c r="G919" s="330"/>
      <c r="H919" s="23">
        <f>H920+H922</f>
        <v>1340663</v>
      </c>
      <c r="I919" s="23">
        <f>I920+I922</f>
        <v>8947</v>
      </c>
      <c r="J919" s="23">
        <f>J920+J922</f>
        <v>1349610</v>
      </c>
    </row>
    <row r="920" spans="3:10" s="26" customFormat="1" ht="11.25">
      <c r="C920" s="321" t="s">
        <v>11</v>
      </c>
      <c r="D920" s="321"/>
      <c r="E920" s="321"/>
      <c r="F920" s="321"/>
      <c r="G920" s="321"/>
      <c r="H920" s="25">
        <f>1105042+213591</f>
        <v>1318633</v>
      </c>
      <c r="I920" s="25">
        <f>8947</f>
        <v>8947</v>
      </c>
      <c r="J920" s="25">
        <f>SUM(H920:I920)</f>
        <v>1327580</v>
      </c>
    </row>
    <row r="921" spans="3:10" s="77" customFormat="1" ht="11.25">
      <c r="C921" s="76"/>
      <c r="D921" s="297" t="s">
        <v>206</v>
      </c>
      <c r="E921" s="297"/>
      <c r="F921" s="297"/>
      <c r="G921" s="297"/>
      <c r="H921" s="41">
        <f>92114+153387</f>
        <v>245501</v>
      </c>
      <c r="I921" s="41"/>
      <c r="J921" s="41">
        <f>SUM(H921:I921)</f>
        <v>245501</v>
      </c>
    </row>
    <row r="922" spans="3:10" s="26" customFormat="1" ht="11.25">
      <c r="C922" s="321" t="s">
        <v>124</v>
      </c>
      <c r="D922" s="321"/>
      <c r="E922" s="321"/>
      <c r="F922" s="321"/>
      <c r="G922" s="321"/>
      <c r="H922" s="25">
        <f>21870+160</f>
        <v>22030</v>
      </c>
      <c r="I922" s="25"/>
      <c r="J922" s="25">
        <f>SUM(H922:I922)</f>
        <v>22030</v>
      </c>
    </row>
    <row r="923" spans="3:10" s="26" customFormat="1" ht="13.5" customHeight="1">
      <c r="C923" s="28"/>
      <c r="D923" s="28"/>
      <c r="E923" s="28"/>
      <c r="F923" s="28"/>
      <c r="G923" s="28"/>
      <c r="H923" s="25"/>
      <c r="I923" s="25"/>
      <c r="J923" s="25"/>
    </row>
    <row r="924" spans="3:10" s="26" customFormat="1" ht="13.5" customHeight="1">
      <c r="C924" s="28"/>
      <c r="D924" s="28"/>
      <c r="E924" s="28"/>
      <c r="F924" s="28"/>
      <c r="G924" s="28"/>
      <c r="H924" s="25"/>
      <c r="I924" s="25"/>
      <c r="J924" s="25"/>
    </row>
    <row r="925" spans="2:10" s="6" customFormat="1" ht="50.25" customHeight="1">
      <c r="B925" s="7" t="s">
        <v>1</v>
      </c>
      <c r="C925" s="327" t="s">
        <v>2</v>
      </c>
      <c r="D925" s="327"/>
      <c r="E925" s="327"/>
      <c r="F925" s="327"/>
      <c r="G925" s="327"/>
      <c r="H925" s="8" t="s">
        <v>442</v>
      </c>
      <c r="I925" s="8" t="s">
        <v>440</v>
      </c>
      <c r="J925" s="8" t="s">
        <v>441</v>
      </c>
    </row>
    <row r="926" spans="3:10" s="26" customFormat="1" ht="13.5" customHeight="1">
      <c r="C926" s="28"/>
      <c r="D926" s="28"/>
      <c r="E926" s="28"/>
      <c r="F926" s="28"/>
      <c r="G926" s="28"/>
      <c r="H926" s="25"/>
      <c r="I926" s="25"/>
      <c r="J926" s="25"/>
    </row>
    <row r="927" spans="2:10" s="26" customFormat="1" ht="11.25">
      <c r="B927" s="27" t="s">
        <v>171</v>
      </c>
      <c r="C927" s="321" t="s">
        <v>48</v>
      </c>
      <c r="D927" s="321"/>
      <c r="E927" s="321"/>
      <c r="F927" s="321"/>
      <c r="G927" s="321"/>
      <c r="H927" s="25"/>
      <c r="I927" s="25"/>
      <c r="J927" s="25"/>
    </row>
    <row r="928" spans="2:10" s="20" customFormat="1" ht="10.5">
      <c r="B928" s="21"/>
      <c r="C928" s="330" t="s">
        <v>4</v>
      </c>
      <c r="D928" s="330"/>
      <c r="E928" s="330"/>
      <c r="F928" s="330"/>
      <c r="G928" s="330"/>
      <c r="H928" s="23">
        <f>H929+H930+H931</f>
        <v>366696</v>
      </c>
      <c r="I928" s="23">
        <f>I929+I930+I931</f>
        <v>0</v>
      </c>
      <c r="J928" s="23">
        <f>J929+J930+J931</f>
        <v>366696</v>
      </c>
    </row>
    <row r="929" spans="2:10" s="20" customFormat="1" ht="11.25">
      <c r="B929" s="21"/>
      <c r="C929" s="325" t="s">
        <v>5</v>
      </c>
      <c r="D929" s="325"/>
      <c r="E929" s="325"/>
      <c r="F929" s="325"/>
      <c r="G929" s="325"/>
      <c r="H929" s="25">
        <v>807</v>
      </c>
      <c r="I929" s="25"/>
      <c r="J929" s="25">
        <f>SUM(H929:I929)</f>
        <v>807</v>
      </c>
    </row>
    <row r="930" spans="2:10" s="26" customFormat="1" ht="11.25">
      <c r="B930" s="27"/>
      <c r="C930" s="325" t="s">
        <v>6</v>
      </c>
      <c r="D930" s="325"/>
      <c r="E930" s="325"/>
      <c r="F930" s="325"/>
      <c r="G930" s="325"/>
      <c r="H930" s="25">
        <v>358015</v>
      </c>
      <c r="I930" s="25"/>
      <c r="J930" s="25">
        <f>SUM(H930:I930)</f>
        <v>358015</v>
      </c>
    </row>
    <row r="931" spans="2:10" s="26" customFormat="1" ht="11.25">
      <c r="B931" s="27"/>
      <c r="C931" s="325" t="s">
        <v>7</v>
      </c>
      <c r="D931" s="325"/>
      <c r="E931" s="325"/>
      <c r="F931" s="325"/>
      <c r="G931" s="325"/>
      <c r="H931" s="25">
        <v>7874</v>
      </c>
      <c r="I931" s="25"/>
      <c r="J931" s="25">
        <f>SUM(H931:I931)</f>
        <v>7874</v>
      </c>
    </row>
    <row r="932" spans="2:10" s="20" customFormat="1" ht="10.5">
      <c r="B932" s="21"/>
      <c r="C932" s="330" t="s">
        <v>8</v>
      </c>
      <c r="D932" s="330"/>
      <c r="E932" s="330"/>
      <c r="F932" s="330"/>
      <c r="G932" s="330"/>
      <c r="H932" s="23">
        <f>H933+H935</f>
        <v>366696</v>
      </c>
      <c r="I932" s="23">
        <f>I933+I935</f>
        <v>0</v>
      </c>
      <c r="J932" s="23">
        <f>J933+J935</f>
        <v>366696</v>
      </c>
    </row>
    <row r="933" spans="3:10" s="26" customFormat="1" ht="11.25">
      <c r="C933" s="321" t="s">
        <v>11</v>
      </c>
      <c r="D933" s="321"/>
      <c r="E933" s="321"/>
      <c r="F933" s="321"/>
      <c r="G933" s="321"/>
      <c r="H933" s="25">
        <v>354348</v>
      </c>
      <c r="I933" s="25"/>
      <c r="J933" s="25">
        <f>SUM(H933:I933)</f>
        <v>354348</v>
      </c>
    </row>
    <row r="934" spans="3:10" s="77" customFormat="1" ht="11.25">
      <c r="C934" s="76"/>
      <c r="D934" s="297" t="s">
        <v>206</v>
      </c>
      <c r="E934" s="297"/>
      <c r="F934" s="297"/>
      <c r="G934" s="297"/>
      <c r="H934" s="41">
        <v>207306</v>
      </c>
      <c r="I934" s="41"/>
      <c r="J934" s="41">
        <f>SUM(H934:I934)</f>
        <v>207306</v>
      </c>
    </row>
    <row r="935" spans="3:10" s="26" customFormat="1" ht="11.25">
      <c r="C935" s="321" t="s">
        <v>124</v>
      </c>
      <c r="D935" s="321"/>
      <c r="E935" s="321"/>
      <c r="F935" s="321"/>
      <c r="G935" s="321"/>
      <c r="H935" s="25">
        <v>12348</v>
      </c>
      <c r="I935" s="25"/>
      <c r="J935" s="25">
        <f>SUM(H935:I935)</f>
        <v>12348</v>
      </c>
    </row>
    <row r="936" spans="3:10" s="26" customFormat="1" ht="13.5" customHeight="1">
      <c r="C936" s="28"/>
      <c r="D936" s="28"/>
      <c r="E936" s="28"/>
      <c r="F936" s="28"/>
      <c r="G936" s="28"/>
      <c r="H936" s="25"/>
      <c r="I936" s="25"/>
      <c r="J936" s="25"/>
    </row>
    <row r="937" spans="2:10" s="87" customFormat="1" ht="27" customHeight="1">
      <c r="B937" s="99" t="s">
        <v>174</v>
      </c>
      <c r="C937" s="312" t="s">
        <v>52</v>
      </c>
      <c r="D937" s="312"/>
      <c r="E937" s="312"/>
      <c r="F937" s="312"/>
      <c r="G937" s="312"/>
      <c r="H937" s="88"/>
      <c r="I937" s="88"/>
      <c r="J937" s="88"/>
    </row>
    <row r="938" spans="3:10" s="84" customFormat="1" ht="11.25">
      <c r="C938" s="306" t="s">
        <v>4</v>
      </c>
      <c r="D938" s="306"/>
      <c r="E938" s="306"/>
      <c r="F938" s="306"/>
      <c r="G938" s="306"/>
      <c r="H938" s="85">
        <f>H939+H942+H943</f>
        <v>1579</v>
      </c>
      <c r="I938" s="85">
        <f>I939+I942+I943</f>
        <v>960</v>
      </c>
      <c r="J938" s="85">
        <f>J939+J942+J943</f>
        <v>2539</v>
      </c>
    </row>
    <row r="939" spans="3:10" s="84" customFormat="1" ht="11.25">
      <c r="C939" s="325" t="s">
        <v>193</v>
      </c>
      <c r="D939" s="325"/>
      <c r="E939" s="325"/>
      <c r="F939" s="325"/>
      <c r="G939" s="325"/>
      <c r="H939" s="86">
        <f>H940+H941</f>
        <v>1579</v>
      </c>
      <c r="I939" s="86"/>
      <c r="J939" s="86">
        <f>J940+J941</f>
        <v>1579</v>
      </c>
    </row>
    <row r="940" spans="3:10" s="94" customFormat="1" ht="11.25">
      <c r="C940" s="332" t="s">
        <v>194</v>
      </c>
      <c r="D940" s="332"/>
      <c r="E940" s="332"/>
      <c r="F940" s="332"/>
      <c r="G940" s="332"/>
      <c r="H940" s="96">
        <v>373</v>
      </c>
      <c r="I940" s="96"/>
      <c r="J940" s="96">
        <f>SUM(H940:I940)</f>
        <v>373</v>
      </c>
    </row>
    <row r="941" spans="3:10" s="94" customFormat="1" ht="11.25">
      <c r="C941" s="332" t="s">
        <v>185</v>
      </c>
      <c r="D941" s="332"/>
      <c r="E941" s="332"/>
      <c r="F941" s="332"/>
      <c r="G941" s="332"/>
      <c r="H941" s="96">
        <v>1206</v>
      </c>
      <c r="I941" s="96"/>
      <c r="J941" s="96">
        <f>SUM(H941:I941)</f>
        <v>1206</v>
      </c>
    </row>
    <row r="942" spans="3:10" s="94" customFormat="1" ht="11.25">
      <c r="C942" s="325" t="s">
        <v>28</v>
      </c>
      <c r="D942" s="325"/>
      <c r="E942" s="325"/>
      <c r="F942" s="325"/>
      <c r="G942" s="325"/>
      <c r="H942" s="86">
        <v>0</v>
      </c>
      <c r="I942" s="86">
        <v>2036</v>
      </c>
      <c r="J942" s="86">
        <f>SUM(H942:I942)</f>
        <v>2036</v>
      </c>
    </row>
    <row r="943" spans="3:10" s="94" customFormat="1" ht="11.25">
      <c r="C943" s="325" t="s">
        <v>493</v>
      </c>
      <c r="D943" s="325"/>
      <c r="E943" s="325"/>
      <c r="F943" s="325"/>
      <c r="G943" s="325"/>
      <c r="H943" s="86">
        <v>0</v>
      </c>
      <c r="I943" s="86">
        <v>-1076</v>
      </c>
      <c r="J943" s="86">
        <f>SUM(H943:I943)</f>
        <v>-1076</v>
      </c>
    </row>
    <row r="944" spans="3:10" s="84" customFormat="1" ht="11.25">
      <c r="C944" s="306" t="s">
        <v>8</v>
      </c>
      <c r="D944" s="306"/>
      <c r="E944" s="306"/>
      <c r="F944" s="306"/>
      <c r="G944" s="306"/>
      <c r="H944" s="85">
        <f>H945</f>
        <v>1579</v>
      </c>
      <c r="I944" s="85">
        <f>I945</f>
        <v>960</v>
      </c>
      <c r="J944" s="85">
        <f>J945</f>
        <v>2539</v>
      </c>
    </row>
    <row r="945" spans="3:10" s="84" customFormat="1" ht="11.25">
      <c r="C945" s="311" t="s">
        <v>9</v>
      </c>
      <c r="D945" s="311"/>
      <c r="E945" s="311"/>
      <c r="F945" s="311"/>
      <c r="G945" s="311"/>
      <c r="H945" s="86">
        <v>1579</v>
      </c>
      <c r="I945" s="86">
        <v>960</v>
      </c>
      <c r="J945" s="86">
        <f>SUM(H945:I945)</f>
        <v>2539</v>
      </c>
    </row>
    <row r="946" spans="3:10" s="94" customFormat="1" ht="11.25">
      <c r="C946" s="97"/>
      <c r="D946" s="297" t="s">
        <v>206</v>
      </c>
      <c r="E946" s="297"/>
      <c r="F946" s="297"/>
      <c r="G946" s="297"/>
      <c r="H946" s="96">
        <v>939</v>
      </c>
      <c r="I946" s="96"/>
      <c r="J946" s="96">
        <f>SUM(H946:I946)</f>
        <v>939</v>
      </c>
    </row>
    <row r="947" spans="8:10" s="26" customFormat="1" ht="12" customHeight="1">
      <c r="H947" s="25"/>
      <c r="I947" s="25"/>
      <c r="J947" s="25"/>
    </row>
    <row r="948" spans="2:10" s="26" customFormat="1" ht="24.75" customHeight="1">
      <c r="B948" s="98" t="s">
        <v>174</v>
      </c>
      <c r="C948" s="300" t="s">
        <v>57</v>
      </c>
      <c r="D948" s="300"/>
      <c r="E948" s="300"/>
      <c r="F948" s="300"/>
      <c r="G948" s="300"/>
      <c r="H948" s="25"/>
      <c r="I948" s="25"/>
      <c r="J948" s="25"/>
    </row>
    <row r="949" spans="3:10" s="26" customFormat="1" ht="11.25">
      <c r="C949" s="330" t="s">
        <v>4</v>
      </c>
      <c r="D949" s="330"/>
      <c r="E949" s="330"/>
      <c r="F949" s="330"/>
      <c r="G949" s="330"/>
      <c r="H949" s="23">
        <f>H950+H953</f>
        <v>1498</v>
      </c>
      <c r="I949" s="23">
        <f>I950+I953</f>
        <v>24559</v>
      </c>
      <c r="J949" s="23">
        <f>J950+J953</f>
        <v>26057</v>
      </c>
    </row>
    <row r="950" spans="3:10" s="26" customFormat="1" ht="11.25">
      <c r="C950" s="325" t="s">
        <v>193</v>
      </c>
      <c r="D950" s="325"/>
      <c r="E950" s="325"/>
      <c r="F950" s="325"/>
      <c r="G950" s="325"/>
      <c r="H950" s="25">
        <f>H951+H952</f>
        <v>1498</v>
      </c>
      <c r="I950" s="25"/>
      <c r="J950" s="25">
        <f>J951+J952</f>
        <v>1498</v>
      </c>
    </row>
    <row r="951" spans="3:10" s="77" customFormat="1" ht="11.25">
      <c r="C951" s="332" t="s">
        <v>194</v>
      </c>
      <c r="D951" s="332"/>
      <c r="E951" s="332"/>
      <c r="F951" s="332"/>
      <c r="G951" s="332"/>
      <c r="H951" s="41">
        <v>2</v>
      </c>
      <c r="I951" s="41"/>
      <c r="J951" s="41">
        <f>SUM(H951:I951)</f>
        <v>2</v>
      </c>
    </row>
    <row r="952" spans="3:10" s="77" customFormat="1" ht="11.25">
      <c r="C952" s="332" t="s">
        <v>185</v>
      </c>
      <c r="D952" s="332"/>
      <c r="E952" s="332"/>
      <c r="F952" s="332"/>
      <c r="G952" s="332"/>
      <c r="H952" s="41">
        <v>1496</v>
      </c>
      <c r="I952" s="41"/>
      <c r="J952" s="41">
        <f>SUM(H952:I952)</f>
        <v>1496</v>
      </c>
    </row>
    <row r="953" spans="3:10" s="77" customFormat="1" ht="11.25">
      <c r="C953" s="325" t="s">
        <v>28</v>
      </c>
      <c r="D953" s="325"/>
      <c r="E953" s="325"/>
      <c r="F953" s="325"/>
      <c r="G953" s="325"/>
      <c r="H953" s="25">
        <v>0</v>
      </c>
      <c r="I953" s="25">
        <v>24559</v>
      </c>
      <c r="J953" s="25">
        <f>SUM(H953:I953)</f>
        <v>24559</v>
      </c>
    </row>
    <row r="954" spans="3:10" s="26" customFormat="1" ht="11.25">
      <c r="C954" s="330" t="s">
        <v>8</v>
      </c>
      <c r="D954" s="330"/>
      <c r="E954" s="330"/>
      <c r="F954" s="330"/>
      <c r="G954" s="330"/>
      <c r="H954" s="23">
        <f>H955</f>
        <v>1498</v>
      </c>
      <c r="I954" s="23">
        <f>I955</f>
        <v>24559</v>
      </c>
      <c r="J954" s="23">
        <f>J955</f>
        <v>26057</v>
      </c>
    </row>
    <row r="955" spans="3:10" s="26" customFormat="1" ht="11.25">
      <c r="C955" s="321" t="s">
        <v>9</v>
      </c>
      <c r="D955" s="321"/>
      <c r="E955" s="321"/>
      <c r="F955" s="321"/>
      <c r="G955" s="321"/>
      <c r="H955" s="25">
        <v>1498</v>
      </c>
      <c r="I955" s="25">
        <v>24559</v>
      </c>
      <c r="J955" s="25">
        <f>SUM(H955:I955)</f>
        <v>26057</v>
      </c>
    </row>
    <row r="956" spans="3:10" s="26" customFormat="1" ht="11.25">
      <c r="C956" s="28"/>
      <c r="D956" s="297" t="s">
        <v>206</v>
      </c>
      <c r="E956" s="297"/>
      <c r="F956" s="297"/>
      <c r="G956" s="297"/>
      <c r="H956" s="96">
        <v>0</v>
      </c>
      <c r="I956" s="96">
        <v>13138</v>
      </c>
      <c r="J956" s="96">
        <f>SUM(H956:I956)</f>
        <v>13138</v>
      </c>
    </row>
    <row r="957" spans="8:10" s="26" customFormat="1" ht="14.25" customHeight="1">
      <c r="H957" s="25"/>
      <c r="I957" s="25"/>
      <c r="J957" s="25"/>
    </row>
    <row r="958" spans="2:10" s="26" customFormat="1" ht="12">
      <c r="B958" s="18" t="s">
        <v>174</v>
      </c>
      <c r="C958" s="340" t="s">
        <v>100</v>
      </c>
      <c r="D958" s="340"/>
      <c r="E958" s="340"/>
      <c r="F958" s="340"/>
      <c r="G958" s="340"/>
      <c r="H958" s="25"/>
      <c r="I958" s="25"/>
      <c r="J958" s="25"/>
    </row>
    <row r="959" spans="2:10" s="26" customFormat="1" ht="11.25">
      <c r="B959" s="21"/>
      <c r="C959" s="330" t="s">
        <v>4</v>
      </c>
      <c r="D959" s="330"/>
      <c r="E959" s="330"/>
      <c r="F959" s="330"/>
      <c r="G959" s="330"/>
      <c r="H959" s="23">
        <f>H960+H963</f>
        <v>526</v>
      </c>
      <c r="I959" s="23">
        <f>I960+I963</f>
        <v>12340</v>
      </c>
      <c r="J959" s="23">
        <f>J960+J963</f>
        <v>12866</v>
      </c>
    </row>
    <row r="960" spans="2:10" s="84" customFormat="1" ht="11.25">
      <c r="B960" s="92"/>
      <c r="C960" s="325" t="s">
        <v>193</v>
      </c>
      <c r="D960" s="325"/>
      <c r="E960" s="325"/>
      <c r="F960" s="325"/>
      <c r="G960" s="325"/>
      <c r="H960" s="86">
        <f>H961+H962</f>
        <v>526</v>
      </c>
      <c r="I960" s="86"/>
      <c r="J960" s="86">
        <f>J961+J962</f>
        <v>526</v>
      </c>
    </row>
    <row r="961" spans="2:10" s="94" customFormat="1" ht="11.25">
      <c r="B961" s="95"/>
      <c r="C961" s="332" t="s">
        <v>194</v>
      </c>
      <c r="D961" s="332"/>
      <c r="E961" s="332"/>
      <c r="F961" s="332"/>
      <c r="G961" s="332"/>
      <c r="H961" s="96">
        <v>1</v>
      </c>
      <c r="I961" s="96"/>
      <c r="J961" s="96">
        <f>SUM(H961:I961)</f>
        <v>1</v>
      </c>
    </row>
    <row r="962" spans="2:10" s="77" customFormat="1" ht="11.25">
      <c r="B962" s="90"/>
      <c r="C962" s="332" t="s">
        <v>185</v>
      </c>
      <c r="D962" s="332"/>
      <c r="E962" s="332"/>
      <c r="F962" s="332"/>
      <c r="G962" s="332"/>
      <c r="H962" s="41">
        <v>525</v>
      </c>
      <c r="I962" s="41"/>
      <c r="J962" s="41">
        <f>SUM(H962:I962)</f>
        <v>525</v>
      </c>
    </row>
    <row r="963" spans="2:10" s="77" customFormat="1" ht="11.25">
      <c r="B963" s="90"/>
      <c r="C963" s="325" t="s">
        <v>28</v>
      </c>
      <c r="D963" s="325"/>
      <c r="E963" s="325"/>
      <c r="F963" s="325"/>
      <c r="G963" s="325"/>
      <c r="H963" s="25">
        <v>0</v>
      </c>
      <c r="I963" s="25">
        <v>12340</v>
      </c>
      <c r="J963" s="25">
        <f>SUM(H963:I963)</f>
        <v>12340</v>
      </c>
    </row>
    <row r="964" spans="2:10" s="26" customFormat="1" ht="11.25">
      <c r="B964" s="21"/>
      <c r="C964" s="330" t="s">
        <v>8</v>
      </c>
      <c r="D964" s="330"/>
      <c r="E964" s="330"/>
      <c r="F964" s="330"/>
      <c r="G964" s="330"/>
      <c r="H964" s="23">
        <f>H965+H967</f>
        <v>526</v>
      </c>
      <c r="I964" s="23">
        <f>I965+I967</f>
        <v>12340</v>
      </c>
      <c r="J964" s="23">
        <f>J965+J967</f>
        <v>12866</v>
      </c>
    </row>
    <row r="965" spans="3:10" s="26" customFormat="1" ht="11.25">
      <c r="C965" s="321" t="s">
        <v>9</v>
      </c>
      <c r="D965" s="321"/>
      <c r="E965" s="321"/>
      <c r="F965" s="321"/>
      <c r="G965" s="321"/>
      <c r="H965" s="25">
        <v>526</v>
      </c>
      <c r="I965" s="25">
        <v>11820</v>
      </c>
      <c r="J965" s="25">
        <f>SUM(H965:I965)</f>
        <v>12346</v>
      </c>
    </row>
    <row r="966" spans="3:10" s="26" customFormat="1" ht="11.25">
      <c r="C966" s="28"/>
      <c r="D966" s="297" t="s">
        <v>206</v>
      </c>
      <c r="E966" s="297"/>
      <c r="F966" s="297"/>
      <c r="G966" s="297"/>
      <c r="H966" s="96">
        <v>0</v>
      </c>
      <c r="I966" s="96">
        <v>6365</v>
      </c>
      <c r="J966" s="96">
        <f>SUM(H966:I966)</f>
        <v>6365</v>
      </c>
    </row>
    <row r="967" spans="3:10" s="26" customFormat="1" ht="11.25">
      <c r="C967" s="321" t="s">
        <v>124</v>
      </c>
      <c r="D967" s="321"/>
      <c r="E967" s="321"/>
      <c r="F967" s="321"/>
      <c r="G967" s="321"/>
      <c r="H967" s="25">
        <v>0</v>
      </c>
      <c r="I967" s="25">
        <v>520</v>
      </c>
      <c r="J967" s="25">
        <f>SUM(H967:I967)</f>
        <v>520</v>
      </c>
    </row>
    <row r="968" spans="3:10" s="26" customFormat="1" ht="12.75" customHeight="1">
      <c r="C968" s="28"/>
      <c r="D968" s="28"/>
      <c r="E968" s="28"/>
      <c r="F968" s="28"/>
      <c r="G968" s="28"/>
      <c r="H968" s="25"/>
      <c r="I968" s="25"/>
      <c r="J968" s="25"/>
    </row>
    <row r="969" spans="2:10" s="17" customFormat="1" ht="12">
      <c r="B969" s="18" t="s">
        <v>173</v>
      </c>
      <c r="C969" s="340" t="s">
        <v>51</v>
      </c>
      <c r="D969" s="340"/>
      <c r="E969" s="340"/>
      <c r="F969" s="340"/>
      <c r="G969" s="340"/>
      <c r="H969" s="19"/>
      <c r="I969" s="19"/>
      <c r="J969" s="19"/>
    </row>
    <row r="970" spans="2:10" s="20" customFormat="1" ht="10.5">
      <c r="B970" s="21"/>
      <c r="C970" s="330" t="s">
        <v>4</v>
      </c>
      <c r="D970" s="330"/>
      <c r="E970" s="330"/>
      <c r="F970" s="330"/>
      <c r="G970" s="330"/>
      <c r="H970" s="23">
        <f>H971+H972+H973</f>
        <v>633005</v>
      </c>
      <c r="I970" s="23">
        <f>I971+I972+I973</f>
        <v>0</v>
      </c>
      <c r="J970" s="23">
        <f>J971+J972+J973</f>
        <v>633005</v>
      </c>
    </row>
    <row r="971" spans="2:10" s="20" customFormat="1" ht="11.25">
      <c r="B971" s="21"/>
      <c r="C971" s="325" t="s">
        <v>5</v>
      </c>
      <c r="D971" s="325"/>
      <c r="E971" s="325"/>
      <c r="F971" s="325"/>
      <c r="G971" s="325"/>
      <c r="H971" s="25">
        <v>1497</v>
      </c>
      <c r="I971" s="25"/>
      <c r="J971" s="25">
        <f>SUM(H971:I971)</f>
        <v>1497</v>
      </c>
    </row>
    <row r="972" spans="2:10" s="26" customFormat="1" ht="11.25">
      <c r="B972" s="27"/>
      <c r="C972" s="325" t="s">
        <v>6</v>
      </c>
      <c r="D972" s="325"/>
      <c r="E972" s="325"/>
      <c r="F972" s="325"/>
      <c r="G972" s="325"/>
      <c r="H972" s="25">
        <v>376532</v>
      </c>
      <c r="I972" s="25"/>
      <c r="J972" s="25">
        <f>SUM(H972:I972)</f>
        <v>376532</v>
      </c>
    </row>
    <row r="973" spans="2:10" s="26" customFormat="1" ht="11.25">
      <c r="B973" s="27"/>
      <c r="C973" s="325" t="s">
        <v>7</v>
      </c>
      <c r="D973" s="325"/>
      <c r="E973" s="325"/>
      <c r="F973" s="325"/>
      <c r="G973" s="325"/>
      <c r="H973" s="25">
        <v>254976</v>
      </c>
      <c r="I973" s="25"/>
      <c r="J973" s="25">
        <f>SUM(H973:I973)</f>
        <v>254976</v>
      </c>
    </row>
    <row r="974" spans="2:10" s="20" customFormat="1" ht="10.5">
      <c r="B974" s="21"/>
      <c r="C974" s="330" t="s">
        <v>8</v>
      </c>
      <c r="D974" s="330"/>
      <c r="E974" s="330"/>
      <c r="F974" s="330"/>
      <c r="G974" s="330"/>
      <c r="H974" s="23">
        <f>H975+H977</f>
        <v>633005</v>
      </c>
      <c r="I974" s="23">
        <f>I975+I977</f>
        <v>0</v>
      </c>
      <c r="J974" s="23">
        <f>J975+J977</f>
        <v>633005</v>
      </c>
    </row>
    <row r="975" spans="3:10" s="26" customFormat="1" ht="11.25">
      <c r="C975" s="321" t="s">
        <v>11</v>
      </c>
      <c r="D975" s="321"/>
      <c r="E975" s="321"/>
      <c r="F975" s="321"/>
      <c r="G975" s="321"/>
      <c r="H975" s="25">
        <v>613433</v>
      </c>
      <c r="I975" s="25"/>
      <c r="J975" s="25">
        <f>SUM(H975:I975)</f>
        <v>613433</v>
      </c>
    </row>
    <row r="976" spans="3:10" s="77" customFormat="1" ht="11.25">
      <c r="C976" s="76"/>
      <c r="D976" s="297" t="s">
        <v>206</v>
      </c>
      <c r="E976" s="297"/>
      <c r="F976" s="297"/>
      <c r="G976" s="297"/>
      <c r="H976" s="41">
        <v>250537</v>
      </c>
      <c r="I976" s="41"/>
      <c r="J976" s="41">
        <f>SUM(H976:I976)</f>
        <v>250537</v>
      </c>
    </row>
    <row r="977" spans="3:10" s="26" customFormat="1" ht="11.25">
      <c r="C977" s="321" t="s">
        <v>124</v>
      </c>
      <c r="D977" s="321"/>
      <c r="E977" s="321"/>
      <c r="F977" s="321"/>
      <c r="G977" s="321"/>
      <c r="H977" s="25">
        <v>19572</v>
      </c>
      <c r="I977" s="25"/>
      <c r="J977" s="25">
        <f>SUM(H977:I977)</f>
        <v>19572</v>
      </c>
    </row>
    <row r="978" spans="3:10" s="26" customFormat="1" ht="18.75" customHeight="1">
      <c r="C978" s="28"/>
      <c r="D978" s="28"/>
      <c r="E978" s="28"/>
      <c r="F978" s="28"/>
      <c r="G978" s="28"/>
      <c r="H978" s="25"/>
      <c r="I978" s="25"/>
      <c r="J978" s="25"/>
    </row>
    <row r="979" spans="2:8" s="17" customFormat="1" ht="12">
      <c r="B979" s="18" t="s">
        <v>176</v>
      </c>
      <c r="C979" s="340" t="s">
        <v>64</v>
      </c>
      <c r="D979" s="340"/>
      <c r="E979" s="340"/>
      <c r="F979" s="340"/>
      <c r="G979" s="340"/>
      <c r="H979" s="314"/>
    </row>
    <row r="980" spans="2:10" s="20" customFormat="1" ht="10.5">
      <c r="B980" s="21"/>
      <c r="C980" s="330" t="s">
        <v>4</v>
      </c>
      <c r="D980" s="330"/>
      <c r="E980" s="330"/>
      <c r="F980" s="330"/>
      <c r="G980" s="330"/>
      <c r="H980" s="23">
        <f>H981+H982</f>
        <v>80000</v>
      </c>
      <c r="I980" s="23">
        <f>I981+I982</f>
        <v>0</v>
      </c>
      <c r="J980" s="23">
        <f>J981+J982</f>
        <v>80000</v>
      </c>
    </row>
    <row r="981" spans="2:10" s="20" customFormat="1" ht="11.25">
      <c r="B981" s="21"/>
      <c r="C981" s="325" t="s">
        <v>216</v>
      </c>
      <c r="D981" s="325"/>
      <c r="E981" s="325"/>
      <c r="F981" s="325"/>
      <c r="G981" s="325"/>
      <c r="H981" s="25">
        <v>9000</v>
      </c>
      <c r="I981" s="25"/>
      <c r="J981" s="25">
        <f>SUM(H981:I981)</f>
        <v>9000</v>
      </c>
    </row>
    <row r="982" spans="2:10" s="26" customFormat="1" ht="11.25">
      <c r="B982" s="27"/>
      <c r="C982" s="325" t="s">
        <v>6</v>
      </c>
      <c r="D982" s="325"/>
      <c r="E982" s="325"/>
      <c r="F982" s="325"/>
      <c r="G982" s="325"/>
      <c r="H982" s="25">
        <v>71000</v>
      </c>
      <c r="I982" s="25"/>
      <c r="J982" s="25">
        <f>SUM(H982:I982)</f>
        <v>71000</v>
      </c>
    </row>
    <row r="983" spans="2:10" s="20" customFormat="1" ht="10.5">
      <c r="B983" s="21"/>
      <c r="C983" s="330" t="s">
        <v>8</v>
      </c>
      <c r="D983" s="330"/>
      <c r="E983" s="330"/>
      <c r="F983" s="330"/>
      <c r="G983" s="330"/>
      <c r="H983" s="23">
        <f>H984</f>
        <v>80000</v>
      </c>
      <c r="I983" s="23">
        <f>I984</f>
        <v>0</v>
      </c>
      <c r="J983" s="23">
        <f>J984</f>
        <v>80000</v>
      </c>
    </row>
    <row r="984" spans="3:10" s="26" customFormat="1" ht="11.25">
      <c r="C984" s="321" t="s">
        <v>11</v>
      </c>
      <c r="D984" s="321"/>
      <c r="E984" s="321"/>
      <c r="F984" s="321"/>
      <c r="G984" s="321"/>
      <c r="H984" s="25">
        <v>80000</v>
      </c>
      <c r="I984" s="25"/>
      <c r="J984" s="25">
        <f>SUM(H984:I984)</f>
        <v>80000</v>
      </c>
    </row>
    <row r="985" spans="3:10" s="26" customFormat="1" ht="12.75" customHeight="1">
      <c r="C985" s="28"/>
      <c r="D985" s="28"/>
      <c r="E985" s="28"/>
      <c r="F985" s="28"/>
      <c r="G985" s="28"/>
      <c r="H985" s="25"/>
      <c r="I985" s="25"/>
      <c r="J985" s="25"/>
    </row>
    <row r="986" spans="2:10" s="6" customFormat="1" ht="50.25" customHeight="1">
      <c r="B986" s="7" t="s">
        <v>1</v>
      </c>
      <c r="C986" s="327" t="s">
        <v>2</v>
      </c>
      <c r="D986" s="327"/>
      <c r="E986" s="327"/>
      <c r="F986" s="327"/>
      <c r="G986" s="327"/>
      <c r="H986" s="8" t="s">
        <v>442</v>
      </c>
      <c r="I986" s="8" t="s">
        <v>440</v>
      </c>
      <c r="J986" s="8" t="s">
        <v>441</v>
      </c>
    </row>
    <row r="987" spans="3:10" s="26" customFormat="1" ht="12.75" customHeight="1">
      <c r="C987" s="28"/>
      <c r="D987" s="28"/>
      <c r="E987" s="28"/>
      <c r="F987" s="28"/>
      <c r="G987" s="28"/>
      <c r="H987" s="25"/>
      <c r="I987" s="25"/>
      <c r="J987" s="25"/>
    </row>
    <row r="988" spans="2:10" s="17" customFormat="1" ht="12">
      <c r="B988" s="18" t="s">
        <v>172</v>
      </c>
      <c r="C988" s="340" t="s">
        <v>49</v>
      </c>
      <c r="D988" s="340"/>
      <c r="E988" s="340"/>
      <c r="F988" s="340"/>
      <c r="G988" s="340"/>
      <c r="H988" s="19"/>
      <c r="I988" s="19"/>
      <c r="J988" s="19"/>
    </row>
    <row r="989" spans="2:10" s="20" customFormat="1" ht="10.5">
      <c r="B989" s="21"/>
      <c r="C989" s="330" t="s">
        <v>4</v>
      </c>
      <c r="D989" s="330"/>
      <c r="E989" s="330"/>
      <c r="F989" s="330"/>
      <c r="G989" s="330"/>
      <c r="H989" s="23">
        <f>H990+H991</f>
        <v>219411</v>
      </c>
      <c r="I989" s="23">
        <f>I990+I991</f>
        <v>0</v>
      </c>
      <c r="J989" s="23">
        <f>J990+J991</f>
        <v>219411</v>
      </c>
    </row>
    <row r="990" spans="2:10" s="26" customFormat="1" ht="11.25">
      <c r="B990" s="27"/>
      <c r="C990" s="325" t="s">
        <v>6</v>
      </c>
      <c r="D990" s="325"/>
      <c r="E990" s="325"/>
      <c r="F990" s="325"/>
      <c r="G990" s="325"/>
      <c r="H990" s="25">
        <v>218700</v>
      </c>
      <c r="I990" s="25"/>
      <c r="J990" s="25">
        <f>SUM(H990:I990)</f>
        <v>218700</v>
      </c>
    </row>
    <row r="991" spans="2:10" s="26" customFormat="1" ht="11.25">
      <c r="B991" s="27"/>
      <c r="C991" s="325" t="s">
        <v>7</v>
      </c>
      <c r="D991" s="325"/>
      <c r="E991" s="325"/>
      <c r="F991" s="325"/>
      <c r="G991" s="325"/>
      <c r="H991" s="25">
        <v>711</v>
      </c>
      <c r="I991" s="25"/>
      <c r="J991" s="25">
        <f>SUM(H991:I991)</f>
        <v>711</v>
      </c>
    </row>
    <row r="992" spans="2:10" s="20" customFormat="1" ht="10.5">
      <c r="B992" s="21"/>
      <c r="C992" s="330" t="s">
        <v>8</v>
      </c>
      <c r="D992" s="330"/>
      <c r="E992" s="330"/>
      <c r="F992" s="330"/>
      <c r="G992" s="330"/>
      <c r="H992" s="23">
        <f>H993+H995</f>
        <v>219411</v>
      </c>
      <c r="I992" s="23">
        <f>I993+I995</f>
        <v>0</v>
      </c>
      <c r="J992" s="23">
        <f>J993+J995</f>
        <v>219411</v>
      </c>
    </row>
    <row r="993" spans="3:10" s="26" customFormat="1" ht="11.25">
      <c r="C993" s="321" t="s">
        <v>11</v>
      </c>
      <c r="D993" s="321"/>
      <c r="E993" s="321"/>
      <c r="F993" s="321"/>
      <c r="G993" s="321"/>
      <c r="H993" s="25">
        <v>218495</v>
      </c>
      <c r="I993" s="25">
        <v>916</v>
      </c>
      <c r="J993" s="25">
        <f>SUM(H993:I993)</f>
        <v>219411</v>
      </c>
    </row>
    <row r="994" spans="3:10" s="77" customFormat="1" ht="11.25">
      <c r="C994" s="76"/>
      <c r="D994" s="297" t="s">
        <v>206</v>
      </c>
      <c r="E994" s="297"/>
      <c r="F994" s="297"/>
      <c r="G994" s="297"/>
      <c r="H994" s="41">
        <v>109541</v>
      </c>
      <c r="I994" s="41">
        <v>-184</v>
      </c>
      <c r="J994" s="41">
        <f>SUM(H994:I994)</f>
        <v>109357</v>
      </c>
    </row>
    <row r="995" spans="3:10" s="26" customFormat="1" ht="11.25">
      <c r="C995" s="321" t="s">
        <v>124</v>
      </c>
      <c r="D995" s="321"/>
      <c r="E995" s="321"/>
      <c r="F995" s="321"/>
      <c r="G995" s="321"/>
      <c r="H995" s="25">
        <v>916</v>
      </c>
      <c r="I995" s="25">
        <v>-916</v>
      </c>
      <c r="J995" s="25">
        <f>SUM(H995:I995)</f>
        <v>0</v>
      </c>
    </row>
    <row r="996" spans="3:10" s="26" customFormat="1" ht="15" customHeight="1">
      <c r="C996" s="28"/>
      <c r="D996" s="28"/>
      <c r="E996" s="28"/>
      <c r="F996" s="28"/>
      <c r="G996" s="28"/>
      <c r="H996" s="25"/>
      <c r="I996" s="25"/>
      <c r="J996" s="25"/>
    </row>
    <row r="997" spans="2:10" s="17" customFormat="1" ht="12">
      <c r="B997" s="18" t="s">
        <v>172</v>
      </c>
      <c r="C997" s="340" t="s">
        <v>50</v>
      </c>
      <c r="D997" s="340"/>
      <c r="E997" s="340"/>
      <c r="F997" s="340"/>
      <c r="G997" s="340"/>
      <c r="H997" s="19"/>
      <c r="I997" s="19"/>
      <c r="J997" s="19"/>
    </row>
    <row r="998" spans="2:10" s="20" customFormat="1" ht="10.5">
      <c r="B998" s="21"/>
      <c r="C998" s="330" t="s">
        <v>4</v>
      </c>
      <c r="D998" s="330"/>
      <c r="E998" s="330"/>
      <c r="F998" s="330"/>
      <c r="G998" s="330"/>
      <c r="H998" s="23">
        <f>H999+H1000+H1001</f>
        <v>287008</v>
      </c>
      <c r="I998" s="23">
        <f>I999+I1000+I1001</f>
        <v>0</v>
      </c>
      <c r="J998" s="23">
        <f>J999+J1000+J1001</f>
        <v>287008</v>
      </c>
    </row>
    <row r="999" spans="2:10" s="20" customFormat="1" ht="11.25">
      <c r="B999" s="21"/>
      <c r="C999" s="325" t="s">
        <v>5</v>
      </c>
      <c r="D999" s="325"/>
      <c r="E999" s="325"/>
      <c r="F999" s="325"/>
      <c r="G999" s="325"/>
      <c r="H999" s="25">
        <v>29</v>
      </c>
      <c r="I999" s="25"/>
      <c r="J999" s="25">
        <f>SUM(H999:I999)</f>
        <v>29</v>
      </c>
    </row>
    <row r="1000" spans="2:10" s="26" customFormat="1" ht="11.25">
      <c r="B1000" s="27"/>
      <c r="C1000" s="325" t="s">
        <v>6</v>
      </c>
      <c r="D1000" s="325"/>
      <c r="E1000" s="325"/>
      <c r="F1000" s="325"/>
      <c r="G1000" s="325"/>
      <c r="H1000" s="25">
        <v>284590</v>
      </c>
      <c r="I1000" s="25"/>
      <c r="J1000" s="25">
        <f>SUM(H1000:I1000)</f>
        <v>284590</v>
      </c>
    </row>
    <row r="1001" spans="2:10" s="26" customFormat="1" ht="11.25">
      <c r="B1001" s="27"/>
      <c r="C1001" s="325" t="s">
        <v>7</v>
      </c>
      <c r="D1001" s="325"/>
      <c r="E1001" s="325"/>
      <c r="F1001" s="325"/>
      <c r="G1001" s="325"/>
      <c r="H1001" s="25">
        <v>2389</v>
      </c>
      <c r="I1001" s="25"/>
      <c r="J1001" s="25">
        <f>SUM(H1001:I1001)</f>
        <v>2389</v>
      </c>
    </row>
    <row r="1002" spans="2:10" s="20" customFormat="1" ht="10.5">
      <c r="B1002" s="21"/>
      <c r="C1002" s="330" t="s">
        <v>8</v>
      </c>
      <c r="D1002" s="330"/>
      <c r="E1002" s="330"/>
      <c r="F1002" s="330"/>
      <c r="G1002" s="330"/>
      <c r="H1002" s="23">
        <f>H1003+H1005</f>
        <v>287008</v>
      </c>
      <c r="I1002" s="23">
        <f>I1003+I1005</f>
        <v>0</v>
      </c>
      <c r="J1002" s="23">
        <f>J1003+J1005</f>
        <v>287008</v>
      </c>
    </row>
    <row r="1003" spans="3:10" s="26" customFormat="1" ht="11.25">
      <c r="C1003" s="321" t="s">
        <v>11</v>
      </c>
      <c r="D1003" s="321"/>
      <c r="E1003" s="321"/>
      <c r="F1003" s="321"/>
      <c r="G1003" s="321"/>
      <c r="H1003" s="25">
        <v>282798</v>
      </c>
      <c r="I1003" s="25"/>
      <c r="J1003" s="25">
        <f>SUM(H1003:I1003)</f>
        <v>282798</v>
      </c>
    </row>
    <row r="1004" spans="3:10" s="77" customFormat="1" ht="11.25">
      <c r="C1004" s="76"/>
      <c r="D1004" s="297" t="s">
        <v>206</v>
      </c>
      <c r="E1004" s="297"/>
      <c r="F1004" s="297"/>
      <c r="G1004" s="297"/>
      <c r="H1004" s="41">
        <v>126546</v>
      </c>
      <c r="I1004" s="41"/>
      <c r="J1004" s="41">
        <f>SUM(H1004:I1004)</f>
        <v>126546</v>
      </c>
    </row>
    <row r="1005" spans="3:10" s="26" customFormat="1" ht="11.25">
      <c r="C1005" s="321" t="s">
        <v>124</v>
      </c>
      <c r="D1005" s="321"/>
      <c r="E1005" s="321"/>
      <c r="F1005" s="321"/>
      <c r="G1005" s="321"/>
      <c r="H1005" s="25">
        <v>4210</v>
      </c>
      <c r="I1005" s="25"/>
      <c r="J1005" s="25">
        <f>SUM(H1005:I1005)</f>
        <v>4210</v>
      </c>
    </row>
    <row r="1006" spans="3:10" s="26" customFormat="1" ht="9.75" customHeight="1">
      <c r="C1006" s="28"/>
      <c r="D1006" s="28"/>
      <c r="E1006" s="28"/>
      <c r="F1006" s="28"/>
      <c r="G1006" s="28"/>
      <c r="H1006" s="25"/>
      <c r="I1006" s="25"/>
      <c r="J1006" s="25"/>
    </row>
    <row r="1007" spans="2:10" s="33" customFormat="1" ht="26.25" customHeight="1">
      <c r="B1007" s="34" t="s">
        <v>172</v>
      </c>
      <c r="C1007" s="309" t="s">
        <v>54</v>
      </c>
      <c r="D1007" s="309"/>
      <c r="E1007" s="309"/>
      <c r="F1007" s="309"/>
      <c r="G1007" s="309"/>
      <c r="H1007" s="52"/>
      <c r="I1007" s="52"/>
      <c r="J1007" s="52"/>
    </row>
    <row r="1008" spans="3:10" s="26" customFormat="1" ht="11.25">
      <c r="C1008" s="330" t="s">
        <v>4</v>
      </c>
      <c r="D1008" s="330"/>
      <c r="E1008" s="330"/>
      <c r="F1008" s="330"/>
      <c r="G1008" s="330"/>
      <c r="H1008" s="23">
        <f>H1009</f>
        <v>772</v>
      </c>
      <c r="I1008" s="23">
        <f>I1009</f>
        <v>0</v>
      </c>
      <c r="J1008" s="23">
        <f>J1009</f>
        <v>772</v>
      </c>
    </row>
    <row r="1009" spans="3:10" s="26" customFormat="1" ht="11.25">
      <c r="C1009" s="325" t="s">
        <v>193</v>
      </c>
      <c r="D1009" s="325"/>
      <c r="E1009" s="325"/>
      <c r="F1009" s="325"/>
      <c r="G1009" s="325"/>
      <c r="H1009" s="25">
        <f>H1010+H1011</f>
        <v>772</v>
      </c>
      <c r="I1009" s="25"/>
      <c r="J1009" s="25">
        <f>J1010+J1011</f>
        <v>772</v>
      </c>
    </row>
    <row r="1010" spans="3:10" s="77" customFormat="1" ht="11.25">
      <c r="C1010" s="332" t="s">
        <v>194</v>
      </c>
      <c r="D1010" s="332"/>
      <c r="E1010" s="332"/>
      <c r="F1010" s="332"/>
      <c r="G1010" s="332"/>
      <c r="H1010" s="41">
        <v>34</v>
      </c>
      <c r="I1010" s="41"/>
      <c r="J1010" s="41">
        <f>SUM(H1010:I1010)</f>
        <v>34</v>
      </c>
    </row>
    <row r="1011" spans="3:10" s="77" customFormat="1" ht="11.25">
      <c r="C1011" s="332" t="s">
        <v>185</v>
      </c>
      <c r="D1011" s="332"/>
      <c r="E1011" s="332"/>
      <c r="F1011" s="332"/>
      <c r="G1011" s="332"/>
      <c r="H1011" s="41">
        <v>738</v>
      </c>
      <c r="I1011" s="41"/>
      <c r="J1011" s="41">
        <f>SUM(H1011:I1011)</f>
        <v>738</v>
      </c>
    </row>
    <row r="1012" spans="3:10" s="26" customFormat="1" ht="11.25">
      <c r="C1012" s="330" t="s">
        <v>8</v>
      </c>
      <c r="D1012" s="330"/>
      <c r="E1012" s="330"/>
      <c r="F1012" s="330"/>
      <c r="G1012" s="330"/>
      <c r="H1012" s="23">
        <f>H1013</f>
        <v>772</v>
      </c>
      <c r="I1012" s="23">
        <f>I1013</f>
        <v>0</v>
      </c>
      <c r="J1012" s="23">
        <f>J1013</f>
        <v>772</v>
      </c>
    </row>
    <row r="1013" spans="3:10" s="26" customFormat="1" ht="11.25">
      <c r="C1013" s="321" t="s">
        <v>9</v>
      </c>
      <c r="D1013" s="321"/>
      <c r="E1013" s="321"/>
      <c r="F1013" s="321"/>
      <c r="G1013" s="321"/>
      <c r="H1013" s="25">
        <v>772</v>
      </c>
      <c r="I1013" s="25"/>
      <c r="J1013" s="25">
        <f>SUM(H1013:I1013)</f>
        <v>772</v>
      </c>
    </row>
    <row r="1014" spans="8:10" s="26" customFormat="1" ht="9" customHeight="1">
      <c r="H1014" s="25"/>
      <c r="I1014" s="25"/>
      <c r="J1014" s="25"/>
    </row>
    <row r="1015" spans="2:10" s="33" customFormat="1" ht="24" customHeight="1">
      <c r="B1015" s="34" t="s">
        <v>172</v>
      </c>
      <c r="C1015" s="309" t="s">
        <v>190</v>
      </c>
      <c r="D1015" s="309"/>
      <c r="E1015" s="309"/>
      <c r="F1015" s="309"/>
      <c r="G1015" s="309"/>
      <c r="H1015" s="52"/>
      <c r="I1015" s="52"/>
      <c r="J1015" s="52"/>
    </row>
    <row r="1016" spans="2:10" s="26" customFormat="1" ht="11.25">
      <c r="B1016" s="21"/>
      <c r="C1016" s="330" t="s">
        <v>4</v>
      </c>
      <c r="D1016" s="330"/>
      <c r="E1016" s="330"/>
      <c r="F1016" s="330"/>
      <c r="G1016" s="330"/>
      <c r="H1016" s="23">
        <f>H1017</f>
        <v>188860</v>
      </c>
      <c r="I1016" s="23">
        <f>I1017</f>
        <v>0</v>
      </c>
      <c r="J1016" s="23">
        <f>J1017</f>
        <v>188860</v>
      </c>
    </row>
    <row r="1017" spans="2:10" s="26" customFormat="1" ht="11.25">
      <c r="B1017" s="27"/>
      <c r="C1017" s="325" t="s">
        <v>6</v>
      </c>
      <c r="D1017" s="325"/>
      <c r="E1017" s="325"/>
      <c r="F1017" s="325"/>
      <c r="G1017" s="325"/>
      <c r="H1017" s="25">
        <v>188860</v>
      </c>
      <c r="I1017" s="25"/>
      <c r="J1017" s="25">
        <f>SUM(H1017:I1017)</f>
        <v>188860</v>
      </c>
    </row>
    <row r="1018" spans="2:10" s="26" customFormat="1" ht="11.25">
      <c r="B1018" s="21"/>
      <c r="C1018" s="330" t="s">
        <v>8</v>
      </c>
      <c r="D1018" s="330"/>
      <c r="E1018" s="330"/>
      <c r="F1018" s="330"/>
      <c r="G1018" s="330"/>
      <c r="H1018" s="23">
        <f>H1019</f>
        <v>188860</v>
      </c>
      <c r="I1018" s="23">
        <f>I1019</f>
        <v>0</v>
      </c>
      <c r="J1018" s="23">
        <f>J1019</f>
        <v>188860</v>
      </c>
    </row>
    <row r="1019" spans="3:10" s="26" customFormat="1" ht="11.25">
      <c r="C1019" s="321" t="s">
        <v>11</v>
      </c>
      <c r="D1019" s="321"/>
      <c r="E1019" s="321"/>
      <c r="F1019" s="321"/>
      <c r="G1019" s="321"/>
      <c r="H1019" s="25">
        <v>188860</v>
      </c>
      <c r="I1019" s="25"/>
      <c r="J1019" s="25">
        <f>SUM(H1019:I1019)</f>
        <v>188860</v>
      </c>
    </row>
    <row r="1020" spans="8:10" s="26" customFormat="1" ht="9.75" customHeight="1">
      <c r="H1020" s="25"/>
      <c r="I1020" s="25"/>
      <c r="J1020" s="25"/>
    </row>
    <row r="1021" spans="2:10" s="33" customFormat="1" ht="24" customHeight="1">
      <c r="B1021" s="34" t="s">
        <v>172</v>
      </c>
      <c r="C1021" s="309" t="s">
        <v>191</v>
      </c>
      <c r="D1021" s="302"/>
      <c r="E1021" s="302"/>
      <c r="F1021" s="302"/>
      <c r="G1021" s="302"/>
      <c r="H1021" s="52"/>
      <c r="I1021" s="52"/>
      <c r="J1021" s="52"/>
    </row>
    <row r="1022" spans="2:10" s="26" customFormat="1" ht="11.25">
      <c r="B1022" s="21"/>
      <c r="C1022" s="330" t="s">
        <v>4</v>
      </c>
      <c r="D1022" s="330"/>
      <c r="E1022" s="330"/>
      <c r="F1022" s="330"/>
      <c r="G1022" s="330"/>
      <c r="H1022" s="23">
        <f>H1023</f>
        <v>209404</v>
      </c>
      <c r="I1022" s="23">
        <f>I1023</f>
        <v>0</v>
      </c>
      <c r="J1022" s="23">
        <f>J1023</f>
        <v>209404</v>
      </c>
    </row>
    <row r="1023" spans="2:10" s="26" customFormat="1" ht="11.25">
      <c r="B1023" s="27"/>
      <c r="C1023" s="325" t="s">
        <v>6</v>
      </c>
      <c r="D1023" s="325"/>
      <c r="E1023" s="325"/>
      <c r="F1023" s="325"/>
      <c r="G1023" s="325"/>
      <c r="H1023" s="25">
        <v>209404</v>
      </c>
      <c r="I1023" s="25"/>
      <c r="J1023" s="25">
        <f>SUM(H1023:I1023)</f>
        <v>209404</v>
      </c>
    </row>
    <row r="1024" spans="2:10" s="26" customFormat="1" ht="11.25">
      <c r="B1024" s="21"/>
      <c r="C1024" s="330" t="s">
        <v>8</v>
      </c>
      <c r="D1024" s="330"/>
      <c r="E1024" s="330"/>
      <c r="F1024" s="330"/>
      <c r="G1024" s="330"/>
      <c r="H1024" s="23">
        <f>H1025</f>
        <v>209404</v>
      </c>
      <c r="I1024" s="23">
        <f>I1025</f>
        <v>0</v>
      </c>
      <c r="J1024" s="23">
        <f>J1025</f>
        <v>209404</v>
      </c>
    </row>
    <row r="1025" spans="3:10" s="26" customFormat="1" ht="11.25">
      <c r="C1025" s="321" t="s">
        <v>11</v>
      </c>
      <c r="D1025" s="321"/>
      <c r="E1025" s="321"/>
      <c r="F1025" s="321"/>
      <c r="G1025" s="321"/>
      <c r="H1025" s="25">
        <v>209404</v>
      </c>
      <c r="I1025" s="25"/>
      <c r="J1025" s="25">
        <f>SUM(H1025:I1025)</f>
        <v>209404</v>
      </c>
    </row>
    <row r="1026" spans="3:10" s="26" customFormat="1" ht="6.75" customHeight="1">
      <c r="C1026" s="28"/>
      <c r="D1026" s="28"/>
      <c r="E1026" s="28"/>
      <c r="F1026" s="28"/>
      <c r="G1026" s="28"/>
      <c r="H1026" s="25"/>
      <c r="I1026" s="25"/>
      <c r="J1026" s="25"/>
    </row>
    <row r="1027" spans="2:10" s="87" customFormat="1" ht="25.5" customHeight="1">
      <c r="B1027" s="99" t="s">
        <v>201</v>
      </c>
      <c r="C1027" s="312" t="s">
        <v>53</v>
      </c>
      <c r="D1027" s="312"/>
      <c r="E1027" s="312"/>
      <c r="F1027" s="312"/>
      <c r="G1027" s="312"/>
      <c r="H1027" s="88"/>
      <c r="I1027" s="88"/>
      <c r="J1027" s="88"/>
    </row>
    <row r="1028" spans="3:10" s="84" customFormat="1" ht="11.25">
      <c r="C1028" s="306" t="s">
        <v>4</v>
      </c>
      <c r="D1028" s="306"/>
      <c r="E1028" s="306"/>
      <c r="F1028" s="306"/>
      <c r="G1028" s="306"/>
      <c r="H1028" s="85">
        <f>H1029</f>
        <v>1</v>
      </c>
      <c r="I1028" s="85">
        <f>I1029</f>
        <v>0</v>
      </c>
      <c r="J1028" s="85">
        <f>J1029</f>
        <v>1</v>
      </c>
    </row>
    <row r="1029" spans="3:10" s="84" customFormat="1" ht="11.25">
      <c r="C1029" s="313" t="s">
        <v>5</v>
      </c>
      <c r="D1029" s="313"/>
      <c r="E1029" s="313"/>
      <c r="F1029" s="313"/>
      <c r="G1029" s="313"/>
      <c r="H1029" s="86">
        <v>1</v>
      </c>
      <c r="I1029" s="86"/>
      <c r="J1029" s="86">
        <f>SUM(H1029:I1029)</f>
        <v>1</v>
      </c>
    </row>
    <row r="1030" spans="3:10" s="84" customFormat="1" ht="11.25">
      <c r="C1030" s="306" t="s">
        <v>8</v>
      </c>
      <c r="D1030" s="306"/>
      <c r="E1030" s="306"/>
      <c r="F1030" s="306"/>
      <c r="G1030" s="306"/>
      <c r="H1030" s="85">
        <f>H1031</f>
        <v>1</v>
      </c>
      <c r="I1030" s="85">
        <f>I1031</f>
        <v>0</v>
      </c>
      <c r="J1030" s="85">
        <f>J1031</f>
        <v>1</v>
      </c>
    </row>
    <row r="1031" spans="3:10" s="84" customFormat="1" ht="11.25">
      <c r="C1031" s="311" t="s">
        <v>9</v>
      </c>
      <c r="D1031" s="311"/>
      <c r="E1031" s="311"/>
      <c r="F1031" s="311"/>
      <c r="G1031" s="311"/>
      <c r="H1031" s="86">
        <v>1</v>
      </c>
      <c r="I1031" s="86"/>
      <c r="J1031" s="86">
        <f>SUM(H1031:I1031)</f>
        <v>1</v>
      </c>
    </row>
    <row r="1032" spans="3:10" s="26" customFormat="1" ht="12.75" customHeight="1">
      <c r="C1032" s="28"/>
      <c r="D1032" s="28"/>
      <c r="E1032" s="28"/>
      <c r="F1032" s="28"/>
      <c r="G1032" s="28"/>
      <c r="H1032" s="25"/>
      <c r="I1032" s="25"/>
      <c r="J1032" s="25"/>
    </row>
    <row r="1033" spans="3:10" s="26" customFormat="1" ht="12.75" customHeight="1">
      <c r="C1033" s="28"/>
      <c r="D1033" s="28"/>
      <c r="E1033" s="28"/>
      <c r="F1033" s="28"/>
      <c r="G1033" s="28"/>
      <c r="H1033" s="25"/>
      <c r="I1033" s="25"/>
      <c r="J1033" s="25"/>
    </row>
    <row r="1034" spans="3:10" s="26" customFormat="1" ht="12.75" customHeight="1">
      <c r="C1034" s="28"/>
      <c r="D1034" s="28"/>
      <c r="E1034" s="28"/>
      <c r="F1034" s="28"/>
      <c r="G1034" s="28"/>
      <c r="H1034" s="25"/>
      <c r="I1034" s="25"/>
      <c r="J1034" s="25"/>
    </row>
    <row r="1035" spans="3:10" s="26" customFormat="1" ht="12.75" customHeight="1">
      <c r="C1035" s="28"/>
      <c r="D1035" s="28"/>
      <c r="E1035" s="28"/>
      <c r="F1035" s="28"/>
      <c r="G1035" s="28"/>
      <c r="H1035" s="25"/>
      <c r="I1035" s="25"/>
      <c r="J1035" s="25"/>
    </row>
    <row r="1036" spans="3:10" s="26" customFormat="1" ht="12.75" customHeight="1">
      <c r="C1036" s="28"/>
      <c r="D1036" s="28"/>
      <c r="E1036" s="28"/>
      <c r="F1036" s="28"/>
      <c r="G1036" s="28"/>
      <c r="H1036" s="25"/>
      <c r="I1036" s="25"/>
      <c r="J1036" s="25"/>
    </row>
    <row r="1037" spans="2:10" s="91" customFormat="1" ht="12.75">
      <c r="B1037" s="290" t="s">
        <v>189</v>
      </c>
      <c r="C1037" s="290"/>
      <c r="D1037" s="290"/>
      <c r="E1037" s="290"/>
      <c r="F1037" s="290"/>
      <c r="G1037" s="290"/>
      <c r="H1037" s="278">
        <f>H10+H107+H150+H304+H347+H404+H447+H683+H895</f>
        <v>40695050</v>
      </c>
      <c r="I1037" s="278">
        <f>I10+I107+I150+I304+I347+I404+I447+I683+I895</f>
        <v>1445266</v>
      </c>
      <c r="J1037" s="278">
        <f>J10+J107+J150+J304+J347+J404+J447+J683+J895</f>
        <v>42140316</v>
      </c>
    </row>
    <row r="1041" spans="8:10" s="26" customFormat="1" ht="13.5" customHeight="1">
      <c r="H1041" s="25"/>
      <c r="I1041" s="25"/>
      <c r="J1041" s="25"/>
    </row>
    <row r="1042" spans="8:10" s="26" customFormat="1" ht="13.5" customHeight="1">
      <c r="H1042" s="25"/>
      <c r="I1042" s="25"/>
      <c r="J1042" s="25"/>
    </row>
    <row r="1043" spans="8:10" s="26" customFormat="1" ht="13.5" customHeight="1">
      <c r="H1043" s="25"/>
      <c r="I1043" s="25"/>
      <c r="J1043" s="25"/>
    </row>
    <row r="1044" spans="8:10" s="26" customFormat="1" ht="13.5" customHeight="1">
      <c r="H1044" s="25"/>
      <c r="I1044" s="25"/>
      <c r="J1044" s="25"/>
    </row>
    <row r="1045" spans="8:10" s="26" customFormat="1" ht="13.5" customHeight="1">
      <c r="H1045" s="25"/>
      <c r="I1045" s="25"/>
      <c r="J1045" s="25"/>
    </row>
    <row r="1046" spans="8:10" s="26" customFormat="1" ht="13.5" customHeight="1">
      <c r="H1046" s="25"/>
      <c r="I1046" s="25"/>
      <c r="J1046" s="25"/>
    </row>
    <row r="1047" spans="8:10" s="26" customFormat="1" ht="13.5" customHeight="1">
      <c r="H1047" s="25"/>
      <c r="I1047" s="25"/>
      <c r="J1047" s="25"/>
    </row>
    <row r="1048" spans="8:10" s="26" customFormat="1" ht="13.5" customHeight="1">
      <c r="H1048" s="25"/>
      <c r="I1048" s="25"/>
      <c r="J1048" s="25"/>
    </row>
    <row r="1049" spans="8:10" s="26" customFormat="1" ht="13.5" customHeight="1">
      <c r="H1049" s="25"/>
      <c r="I1049" s="25"/>
      <c r="J1049" s="25"/>
    </row>
    <row r="1050" spans="8:10" s="26" customFormat="1" ht="13.5" customHeight="1">
      <c r="H1050" s="25"/>
      <c r="I1050" s="25"/>
      <c r="J1050" s="25"/>
    </row>
    <row r="1051" spans="8:10" s="26" customFormat="1" ht="13.5" customHeight="1">
      <c r="H1051" s="25"/>
      <c r="I1051" s="25"/>
      <c r="J1051" s="25"/>
    </row>
    <row r="1052" spans="2:10" s="26" customFormat="1" ht="11.25">
      <c r="B1052" s="26" t="s">
        <v>109</v>
      </c>
      <c r="H1052" s="25"/>
      <c r="I1052" s="25"/>
      <c r="J1052" s="25"/>
    </row>
    <row r="1053" spans="2:10" s="26" customFormat="1" ht="11.25">
      <c r="B1053" s="72" t="s">
        <v>110</v>
      </c>
      <c r="C1053" s="73"/>
      <c r="H1053" s="25"/>
      <c r="I1053" s="25"/>
      <c r="J1053" s="25"/>
    </row>
    <row r="1054" spans="2:10" s="26" customFormat="1" ht="11.25">
      <c r="B1054" s="330" t="s">
        <v>177</v>
      </c>
      <c r="C1054" s="330"/>
      <c r="D1054" s="330"/>
      <c r="E1054" s="330"/>
      <c r="F1054" s="330"/>
      <c r="G1054" s="2">
        <f>G1055+G1056</f>
        <v>467116</v>
      </c>
      <c r="H1054" s="25"/>
      <c r="I1054" s="25"/>
      <c r="J1054" s="25"/>
    </row>
    <row r="1055" spans="2:10" s="26" customFormat="1" ht="11.25">
      <c r="B1055" s="325" t="s">
        <v>6</v>
      </c>
      <c r="C1055" s="325"/>
      <c r="D1055" s="325"/>
      <c r="E1055" s="325"/>
      <c r="F1055" s="325"/>
      <c r="G1055" s="3">
        <v>434992</v>
      </c>
      <c r="H1055" s="25"/>
      <c r="I1055" s="25"/>
      <c r="J1055" s="25"/>
    </row>
    <row r="1056" spans="2:10" s="26" customFormat="1" ht="11.25">
      <c r="B1056" s="325" t="s">
        <v>111</v>
      </c>
      <c r="C1056" s="325"/>
      <c r="D1056" s="325"/>
      <c r="E1056" s="325"/>
      <c r="F1056" s="325"/>
      <c r="G1056" s="3">
        <v>32124</v>
      </c>
      <c r="H1056" s="25"/>
      <c r="I1056" s="25"/>
      <c r="J1056" s="25"/>
    </row>
    <row r="1057" spans="2:10" s="26" customFormat="1" ht="11.25">
      <c r="B1057" s="330" t="s">
        <v>8</v>
      </c>
      <c r="C1057" s="330"/>
      <c r="D1057" s="330"/>
      <c r="E1057" s="330"/>
      <c r="F1057" s="330"/>
      <c r="G1057" s="2">
        <f>SUM(G1055:G1056)</f>
        <v>467116</v>
      </c>
      <c r="H1057" s="25"/>
      <c r="I1057" s="25"/>
      <c r="J1057" s="25"/>
    </row>
    <row r="1058" spans="2:10" s="26" customFormat="1" ht="11.25">
      <c r="B1058" s="22"/>
      <c r="C1058" s="22"/>
      <c r="D1058" s="22"/>
      <c r="E1058" s="22"/>
      <c r="F1058" s="22"/>
      <c r="G1058" s="2"/>
      <c r="H1058" s="25"/>
      <c r="I1058" s="25"/>
      <c r="J1058" s="25"/>
    </row>
    <row r="1059" spans="2:10" s="26" customFormat="1" ht="11.25">
      <c r="B1059" s="22"/>
      <c r="C1059" s="22"/>
      <c r="D1059" s="22"/>
      <c r="E1059" s="22"/>
      <c r="F1059" s="22"/>
      <c r="G1059" s="2"/>
      <c r="H1059" s="25"/>
      <c r="I1059" s="25"/>
      <c r="J1059" s="25"/>
    </row>
    <row r="1060" spans="2:10" s="26" customFormat="1" ht="11.25">
      <c r="B1060" s="26" t="s">
        <v>112</v>
      </c>
      <c r="H1060" s="25"/>
      <c r="I1060" s="25"/>
      <c r="J1060" s="25"/>
    </row>
    <row r="1061" spans="2:10" s="26" customFormat="1" ht="11.25">
      <c r="B1061" s="291" t="s">
        <v>200</v>
      </c>
      <c r="C1061" s="291"/>
      <c r="D1061" s="291"/>
      <c r="E1061" s="291"/>
      <c r="F1061" s="21"/>
      <c r="G1061" s="133" t="s">
        <v>197</v>
      </c>
      <c r="H1061" s="25"/>
      <c r="I1061" s="25"/>
      <c r="J1061" s="25"/>
    </row>
    <row r="1062" spans="2:10" s="26" customFormat="1" ht="11.25">
      <c r="B1062" s="321" t="s">
        <v>458</v>
      </c>
      <c r="C1062" s="321"/>
      <c r="D1062" s="321"/>
      <c r="E1062" s="321"/>
      <c r="F1062" s="321"/>
      <c r="G1062" s="3">
        <v>70000</v>
      </c>
      <c r="H1062" s="25"/>
      <c r="I1062" s="25"/>
      <c r="J1062" s="25"/>
    </row>
    <row r="1063" spans="2:10" s="26" customFormat="1" ht="11.25">
      <c r="B1063" s="321" t="s">
        <v>457</v>
      </c>
      <c r="C1063" s="321"/>
      <c r="D1063" s="321"/>
      <c r="E1063" s="321"/>
      <c r="F1063" s="321"/>
      <c r="G1063" s="3">
        <v>55000</v>
      </c>
      <c r="H1063" s="25"/>
      <c r="I1063" s="25"/>
      <c r="J1063" s="25"/>
    </row>
    <row r="1064" spans="2:10" s="26" customFormat="1" ht="11.25">
      <c r="B1064" s="321" t="s">
        <v>117</v>
      </c>
      <c r="C1064" s="321"/>
      <c r="D1064" s="321"/>
      <c r="E1064" s="321"/>
      <c r="F1064" s="321"/>
      <c r="G1064" s="3">
        <v>45000</v>
      </c>
      <c r="H1064" s="25"/>
      <c r="I1064" s="25"/>
      <c r="J1064" s="25"/>
    </row>
    <row r="1065" spans="2:10" s="26" customFormat="1" ht="11.25">
      <c r="B1065" s="321" t="s">
        <v>199</v>
      </c>
      <c r="C1065" s="321"/>
      <c r="D1065" s="321"/>
      <c r="E1065" s="321"/>
      <c r="F1065" s="321"/>
      <c r="G1065" s="3">
        <v>5000</v>
      </c>
      <c r="H1065" s="25"/>
      <c r="I1065" s="25"/>
      <c r="J1065" s="25"/>
    </row>
    <row r="1066" spans="2:10" s="26" customFormat="1" ht="11.25">
      <c r="B1066" s="321" t="s">
        <v>116</v>
      </c>
      <c r="C1066" s="321"/>
      <c r="D1066" s="321"/>
      <c r="E1066" s="321"/>
      <c r="F1066" s="321"/>
      <c r="G1066" s="3">
        <v>5000</v>
      </c>
      <c r="H1066" s="25"/>
      <c r="I1066" s="25"/>
      <c r="J1066" s="25"/>
    </row>
    <row r="1067" spans="2:10" s="26" customFormat="1" ht="11.25">
      <c r="B1067" s="321" t="s">
        <v>118</v>
      </c>
      <c r="C1067" s="321"/>
      <c r="D1067" s="321"/>
      <c r="E1067" s="321"/>
      <c r="F1067" s="321"/>
      <c r="G1067" s="3">
        <v>5000</v>
      </c>
      <c r="H1067" s="25"/>
      <c r="I1067" s="25"/>
      <c r="J1067" s="25"/>
    </row>
    <row r="1068" spans="2:10" s="26" customFormat="1" ht="11.25">
      <c r="B1068" s="321" t="s">
        <v>119</v>
      </c>
      <c r="C1068" s="321"/>
      <c r="D1068" s="321"/>
      <c r="E1068" s="321"/>
      <c r="F1068" s="321"/>
      <c r="G1068" s="3">
        <v>3500</v>
      </c>
      <c r="H1068" s="25"/>
      <c r="I1068" s="25"/>
      <c r="J1068" s="25"/>
    </row>
    <row r="1069" spans="2:10" s="26" customFormat="1" ht="11.25">
      <c r="B1069" s="321" t="s">
        <v>113</v>
      </c>
      <c r="C1069" s="321"/>
      <c r="D1069" s="321"/>
      <c r="E1069" s="321"/>
      <c r="F1069" s="321"/>
      <c r="G1069" s="3">
        <v>2000</v>
      </c>
      <c r="H1069" s="25"/>
      <c r="I1069" s="25"/>
      <c r="J1069" s="25"/>
    </row>
    <row r="1070" spans="2:10" s="26" customFormat="1" ht="11.25">
      <c r="B1070" s="321" t="s">
        <v>114</v>
      </c>
      <c r="C1070" s="321"/>
      <c r="D1070" s="321"/>
      <c r="E1070" s="321"/>
      <c r="F1070" s="321"/>
      <c r="G1070" s="3">
        <v>2000</v>
      </c>
      <c r="H1070" s="25"/>
      <c r="I1070" s="25"/>
      <c r="J1070" s="25"/>
    </row>
    <row r="1071" spans="2:10" s="26" customFormat="1" ht="11.25">
      <c r="B1071" s="321" t="s">
        <v>115</v>
      </c>
      <c r="C1071" s="321"/>
      <c r="D1071" s="321"/>
      <c r="E1071" s="321"/>
      <c r="F1071" s="321"/>
      <c r="G1071" s="3">
        <v>2000</v>
      </c>
      <c r="H1071" s="25"/>
      <c r="I1071" s="25"/>
      <c r="J1071" s="25"/>
    </row>
    <row r="1072" spans="2:10" s="26" customFormat="1" ht="11.25">
      <c r="B1072" s="321" t="s">
        <v>198</v>
      </c>
      <c r="C1072" s="321"/>
      <c r="D1072" s="321"/>
      <c r="E1072" s="321"/>
      <c r="F1072" s="321"/>
      <c r="G1072" s="3">
        <v>2000</v>
      </c>
      <c r="H1072" s="25"/>
      <c r="I1072" s="25"/>
      <c r="J1072" s="25"/>
    </row>
    <row r="1073" spans="6:10" s="26" customFormat="1" ht="11.25">
      <c r="F1073" s="20"/>
      <c r="H1073" s="25"/>
      <c r="I1073" s="25"/>
      <c r="J1073" s="25"/>
    </row>
    <row r="1074" spans="8:10" s="26" customFormat="1" ht="11.25">
      <c r="H1074" s="25"/>
      <c r="I1074" s="25"/>
      <c r="J1074" s="25"/>
    </row>
    <row r="1075" spans="8:10" s="26" customFormat="1" ht="11.25">
      <c r="H1075" s="25"/>
      <c r="I1075" s="25"/>
      <c r="J1075" s="25"/>
    </row>
    <row r="1076" spans="8:10" s="26" customFormat="1" ht="11.25">
      <c r="H1076" s="25"/>
      <c r="I1076" s="25"/>
      <c r="J1076" s="25"/>
    </row>
    <row r="1077" spans="2:10" ht="12.75">
      <c r="B1077" s="1" t="s">
        <v>203</v>
      </c>
      <c r="G1077" s="101"/>
      <c r="H1077" s="102" t="s">
        <v>204</v>
      </c>
      <c r="I1077" s="102"/>
      <c r="J1077" s="102"/>
    </row>
    <row r="1078" spans="8:10" s="26" customFormat="1" ht="11.25">
      <c r="H1078" s="25"/>
      <c r="I1078" s="25"/>
      <c r="J1078" s="25"/>
    </row>
  </sheetData>
  <mergeCells count="873">
    <mergeCell ref="C102:G102"/>
    <mergeCell ref="C103:G103"/>
    <mergeCell ref="C859:G859"/>
    <mergeCell ref="D860:G860"/>
    <mergeCell ref="D456:G456"/>
    <mergeCell ref="C429:G429"/>
    <mergeCell ref="C259:G259"/>
    <mergeCell ref="C375:G375"/>
    <mergeCell ref="C452:G452"/>
    <mergeCell ref="C453:G453"/>
    <mergeCell ref="C861:G861"/>
    <mergeCell ref="C844:G844"/>
    <mergeCell ref="C855:G855"/>
    <mergeCell ref="C856:G856"/>
    <mergeCell ref="C857:G857"/>
    <mergeCell ref="C858:G858"/>
    <mergeCell ref="C846:G846"/>
    <mergeCell ref="D847:G847"/>
    <mergeCell ref="B6:I6"/>
    <mergeCell ref="C876:G876"/>
    <mergeCell ref="C881:G881"/>
    <mergeCell ref="C882:G882"/>
    <mergeCell ref="C490:G490"/>
    <mergeCell ref="C14:G14"/>
    <mergeCell ref="D402:G402"/>
    <mergeCell ref="C242:G242"/>
    <mergeCell ref="D248:G248"/>
    <mergeCell ref="D267:G267"/>
    <mergeCell ref="C349:G349"/>
    <mergeCell ref="C350:G350"/>
    <mergeCell ref="C347:G347"/>
    <mergeCell ref="C334:G334"/>
    <mergeCell ref="B1072:F1072"/>
    <mergeCell ref="B1065:F1065"/>
    <mergeCell ref="B1066:F1066"/>
    <mergeCell ref="B1064:F1064"/>
    <mergeCell ref="B1071:F1071"/>
    <mergeCell ref="D488:G488"/>
    <mergeCell ref="C512:G512"/>
    <mergeCell ref="C568:G568"/>
    <mergeCell ref="C569:G569"/>
    <mergeCell ref="C527:G527"/>
    <mergeCell ref="C528:G528"/>
    <mergeCell ref="C515:G515"/>
    <mergeCell ref="C553:G553"/>
    <mergeCell ref="C538:G538"/>
    <mergeCell ref="C529:G529"/>
    <mergeCell ref="C644:G644"/>
    <mergeCell ref="C645:G645"/>
    <mergeCell ref="C667:G667"/>
    <mergeCell ref="C653:G653"/>
    <mergeCell ref="C654:G654"/>
    <mergeCell ref="C655:G655"/>
    <mergeCell ref="C656:G656"/>
    <mergeCell ref="C657:G657"/>
    <mergeCell ref="C660:G660"/>
    <mergeCell ref="C652:G652"/>
    <mergeCell ref="C1019:G1019"/>
    <mergeCell ref="C970:G970"/>
    <mergeCell ref="C972:G972"/>
    <mergeCell ref="C973:G973"/>
    <mergeCell ref="C995:G995"/>
    <mergeCell ref="C997:G997"/>
    <mergeCell ref="C998:G998"/>
    <mergeCell ref="C1000:G1000"/>
    <mergeCell ref="C999:G999"/>
    <mergeCell ref="C988:G988"/>
    <mergeCell ref="B1061:E1061"/>
    <mergeCell ref="B1063:F1063"/>
    <mergeCell ref="B1069:F1069"/>
    <mergeCell ref="B1070:F1070"/>
    <mergeCell ref="B1062:F1062"/>
    <mergeCell ref="B1067:F1067"/>
    <mergeCell ref="B1068:F1068"/>
    <mergeCell ref="C990:G990"/>
    <mergeCell ref="C646:G646"/>
    <mergeCell ref="C661:G661"/>
    <mergeCell ref="C662:G662"/>
    <mergeCell ref="C663:G663"/>
    <mergeCell ref="D647:G647"/>
    <mergeCell ref="C852:G852"/>
    <mergeCell ref="C986:G986"/>
    <mergeCell ref="C716:G716"/>
    <mergeCell ref="C648:G648"/>
    <mergeCell ref="D1004:G1004"/>
    <mergeCell ref="C981:G981"/>
    <mergeCell ref="D994:G994"/>
    <mergeCell ref="C703:G703"/>
    <mergeCell ref="C706:G706"/>
    <mergeCell ref="C704:G704"/>
    <mergeCell ref="C705:G705"/>
    <mergeCell ref="C850:G850"/>
    <mergeCell ref="C851:G851"/>
    <mergeCell ref="C991:G991"/>
    <mergeCell ref="C992:G992"/>
    <mergeCell ref="C664:G664"/>
    <mergeCell ref="C683:G683"/>
    <mergeCell ref="D680:G680"/>
    <mergeCell ref="D699:G699"/>
    <mergeCell ref="C688:G688"/>
    <mergeCell ref="C689:G689"/>
    <mergeCell ref="C853:G853"/>
    <mergeCell ref="C854:G854"/>
    <mergeCell ref="C678:G678"/>
    <mergeCell ref="B1037:G1037"/>
    <mergeCell ref="C1015:G1015"/>
    <mergeCell ref="C1021:G1021"/>
    <mergeCell ref="C1024:G1024"/>
    <mergeCell ref="C1025:G1025"/>
    <mergeCell ref="C1017:G1017"/>
    <mergeCell ref="C1018:G1018"/>
    <mergeCell ref="C1031:G1031"/>
    <mergeCell ref="C1030:G1030"/>
    <mergeCell ref="C1016:G1016"/>
    <mergeCell ref="B1056:F1056"/>
    <mergeCell ref="B1057:F1057"/>
    <mergeCell ref="C228:G228"/>
    <mergeCell ref="C70:G70"/>
    <mergeCell ref="B1054:F1054"/>
    <mergeCell ref="B1055:F1055"/>
    <mergeCell ref="D523:G523"/>
    <mergeCell ref="C565:G565"/>
    <mergeCell ref="D543:G543"/>
    <mergeCell ref="D572:G572"/>
    <mergeCell ref="C1007:G1007"/>
    <mergeCell ref="C284:G284"/>
    <mergeCell ref="C95:G95"/>
    <mergeCell ref="C96:G96"/>
    <mergeCell ref="C97:G97"/>
    <mergeCell ref="C176:G176"/>
    <mergeCell ref="C172:G172"/>
    <mergeCell ref="C173:G173"/>
    <mergeCell ref="C174:G174"/>
    <mergeCell ref="C247:G247"/>
    <mergeCell ref="C570:G570"/>
    <mergeCell ref="C571:G571"/>
    <mergeCell ref="D665:G665"/>
    <mergeCell ref="D658:G658"/>
    <mergeCell ref="C609:G609"/>
    <mergeCell ref="C612:G612"/>
    <mergeCell ref="C613:G613"/>
    <mergeCell ref="D625:G625"/>
    <mergeCell ref="C581:G581"/>
    <mergeCell ref="C614:G614"/>
    <mergeCell ref="C99:G99"/>
    <mergeCell ref="C244:G244"/>
    <mergeCell ref="C246:G246"/>
    <mergeCell ref="C237:G237"/>
    <mergeCell ref="C225:G225"/>
    <mergeCell ref="C230:G230"/>
    <mergeCell ref="D226:G226"/>
    <mergeCell ref="C243:G243"/>
    <mergeCell ref="C235:G235"/>
    <mergeCell ref="C240:G240"/>
    <mergeCell ref="C81:G81"/>
    <mergeCell ref="C82:G82"/>
    <mergeCell ref="C83:G83"/>
    <mergeCell ref="C85:G85"/>
    <mergeCell ref="C86:G86"/>
    <mergeCell ref="C233:H233"/>
    <mergeCell ref="C69:G69"/>
    <mergeCell ref="C100:G100"/>
    <mergeCell ref="C101:G101"/>
    <mergeCell ref="C104:G104"/>
    <mergeCell ref="C105:G105"/>
    <mergeCell ref="C222:G222"/>
    <mergeCell ref="C171:G171"/>
    <mergeCell ref="C156:G156"/>
    <mergeCell ref="C461:G461"/>
    <mergeCell ref="C219:G219"/>
    <mergeCell ref="C221:G221"/>
    <mergeCell ref="C234:G234"/>
    <mergeCell ref="C236:G236"/>
    <mergeCell ref="C224:G224"/>
    <mergeCell ref="C223:G223"/>
    <mergeCell ref="C373:G373"/>
    <mergeCell ref="C374:G374"/>
    <mergeCell ref="C257:G257"/>
    <mergeCell ref="C199:G199"/>
    <mergeCell ref="C200:G200"/>
    <mergeCell ref="C201:G201"/>
    <mergeCell ref="C168:G168"/>
    <mergeCell ref="C178:G178"/>
    <mergeCell ref="C179:G179"/>
    <mergeCell ref="C180:G180"/>
    <mergeCell ref="C181:G181"/>
    <mergeCell ref="C182:G182"/>
    <mergeCell ref="C188:G188"/>
    <mergeCell ref="C608:G608"/>
    <mergeCell ref="C218:G218"/>
    <mergeCell ref="C206:G206"/>
    <mergeCell ref="C207:G207"/>
    <mergeCell ref="C208:G208"/>
    <mergeCell ref="C213:G213"/>
    <mergeCell ref="C211:G211"/>
    <mergeCell ref="C214:G214"/>
    <mergeCell ref="C215:G215"/>
    <mergeCell ref="C216:G216"/>
    <mergeCell ref="C480:G480"/>
    <mergeCell ref="C476:G476"/>
    <mergeCell ref="C462:G462"/>
    <mergeCell ref="C477:G477"/>
    <mergeCell ref="C478:G478"/>
    <mergeCell ref="C479:G479"/>
    <mergeCell ref="C463:G463"/>
    <mergeCell ref="D474:G474"/>
    <mergeCell ref="C470:G470"/>
    <mergeCell ref="C472:G472"/>
    <mergeCell ref="C611:G611"/>
    <mergeCell ref="C605:G605"/>
    <mergeCell ref="D531:G531"/>
    <mergeCell ref="C549:G549"/>
    <mergeCell ref="C601:G601"/>
    <mergeCell ref="C603:G603"/>
    <mergeCell ref="D602:G602"/>
    <mergeCell ref="C587:G587"/>
    <mergeCell ref="C606:G606"/>
    <mergeCell ref="C607:G607"/>
    <mergeCell ref="C486:G486"/>
    <mergeCell ref="C487:G487"/>
    <mergeCell ref="C220:G220"/>
    <mergeCell ref="C261:G261"/>
    <mergeCell ref="C273:G273"/>
    <mergeCell ref="C483:G483"/>
    <mergeCell ref="C460:G460"/>
    <mergeCell ref="C371:G371"/>
    <mergeCell ref="C372:G372"/>
    <mergeCell ref="C482:G482"/>
    <mergeCell ref="C617:G617"/>
    <mergeCell ref="D616:G616"/>
    <mergeCell ref="C623:G623"/>
    <mergeCell ref="D497:G497"/>
    <mergeCell ref="C536:G536"/>
    <mergeCell ref="C537:G537"/>
    <mergeCell ref="C533:G533"/>
    <mergeCell ref="C534:G534"/>
    <mergeCell ref="C535:G535"/>
    <mergeCell ref="C524:G524"/>
    <mergeCell ref="C624:G624"/>
    <mergeCell ref="C599:G599"/>
    <mergeCell ref="D595:G595"/>
    <mergeCell ref="C600:G600"/>
    <mergeCell ref="C598:G598"/>
    <mergeCell ref="C619:G619"/>
    <mergeCell ref="C620:G620"/>
    <mergeCell ref="C621:G621"/>
    <mergeCell ref="C622:G622"/>
    <mergeCell ref="C615:G615"/>
    <mergeCell ref="C590:G590"/>
    <mergeCell ref="C593:G593"/>
    <mergeCell ref="C594:G594"/>
    <mergeCell ref="C597:G597"/>
    <mergeCell ref="C592:G592"/>
    <mergeCell ref="C591:G591"/>
    <mergeCell ref="C578:G578"/>
    <mergeCell ref="C583:G583"/>
    <mergeCell ref="C584:G584"/>
    <mergeCell ref="C574:G574"/>
    <mergeCell ref="C575:G575"/>
    <mergeCell ref="C576:G576"/>
    <mergeCell ref="C577:G577"/>
    <mergeCell ref="D579:G579"/>
    <mergeCell ref="C585:G585"/>
    <mergeCell ref="C554:G554"/>
    <mergeCell ref="D588:G588"/>
    <mergeCell ref="C555:G555"/>
    <mergeCell ref="C557:G557"/>
    <mergeCell ref="C559:G559"/>
    <mergeCell ref="C560:G560"/>
    <mergeCell ref="D556:G556"/>
    <mergeCell ref="C562:G562"/>
    <mergeCell ref="C563:G563"/>
    <mergeCell ref="C586:G586"/>
    <mergeCell ref="C561:G561"/>
    <mergeCell ref="C540:G540"/>
    <mergeCell ref="C541:G541"/>
    <mergeCell ref="C542:G542"/>
    <mergeCell ref="C544:G544"/>
    <mergeCell ref="C546:G546"/>
    <mergeCell ref="C547:G547"/>
    <mergeCell ref="C548:G548"/>
    <mergeCell ref="C551:G551"/>
    <mergeCell ref="C530:G530"/>
    <mergeCell ref="C550:G550"/>
    <mergeCell ref="C491:G491"/>
    <mergeCell ref="C492:G492"/>
    <mergeCell ref="C493:G493"/>
    <mergeCell ref="C494:G494"/>
    <mergeCell ref="C495:G495"/>
    <mergeCell ref="C496:G496"/>
    <mergeCell ref="C498:G498"/>
    <mergeCell ref="C514:G514"/>
    <mergeCell ref="C506:G506"/>
    <mergeCell ref="C507:G507"/>
    <mergeCell ref="C508:G508"/>
    <mergeCell ref="C510:G510"/>
    <mergeCell ref="D509:G509"/>
    <mergeCell ref="C500:G500"/>
    <mergeCell ref="C516:G516"/>
    <mergeCell ref="C526:G526"/>
    <mergeCell ref="C519:G519"/>
    <mergeCell ref="C520:G520"/>
    <mergeCell ref="C521:G521"/>
    <mergeCell ref="C522:G522"/>
    <mergeCell ref="C517:G517"/>
    <mergeCell ref="C518:G518"/>
    <mergeCell ref="C501:G501"/>
    <mergeCell ref="C502:G502"/>
    <mergeCell ref="C505:G505"/>
    <mergeCell ref="C504:G504"/>
    <mergeCell ref="C503:G503"/>
    <mergeCell ref="C642:G642"/>
    <mergeCell ref="C643:G643"/>
    <mergeCell ref="C637:G637"/>
    <mergeCell ref="C638:G638"/>
    <mergeCell ref="C639:G639"/>
    <mergeCell ref="D640:G640"/>
    <mergeCell ref="C708:G708"/>
    <mergeCell ref="C626:G626"/>
    <mergeCell ref="C635:G635"/>
    <mergeCell ref="D633:G633"/>
    <mergeCell ref="C628:G628"/>
    <mergeCell ref="C629:G629"/>
    <mergeCell ref="C630:G630"/>
    <mergeCell ref="C631:G631"/>
    <mergeCell ref="C632:G632"/>
    <mergeCell ref="C636:G636"/>
    <mergeCell ref="C698:G698"/>
    <mergeCell ref="C702:G702"/>
    <mergeCell ref="C687:G687"/>
    <mergeCell ref="C707:G707"/>
    <mergeCell ref="C700:G700"/>
    <mergeCell ref="C695:G695"/>
    <mergeCell ref="C696:G696"/>
    <mergeCell ref="C697:G697"/>
    <mergeCell ref="C685:G685"/>
    <mergeCell ref="C690:G690"/>
    <mergeCell ref="C692:G692"/>
    <mergeCell ref="C693:G693"/>
    <mergeCell ref="C686:G686"/>
    <mergeCell ref="C691:G691"/>
    <mergeCell ref="C733:G733"/>
    <mergeCell ref="C729:G729"/>
    <mergeCell ref="C730:G730"/>
    <mergeCell ref="C718:G718"/>
    <mergeCell ref="C732:G732"/>
    <mergeCell ref="D720:G720"/>
    <mergeCell ref="C731:G731"/>
    <mergeCell ref="C728:G728"/>
    <mergeCell ref="C726:G726"/>
    <mergeCell ref="C727:G727"/>
    <mergeCell ref="C723:G723"/>
    <mergeCell ref="C669:G669"/>
    <mergeCell ref="C670:G670"/>
    <mergeCell ref="C679:G679"/>
    <mergeCell ref="C671:G671"/>
    <mergeCell ref="C674:G674"/>
    <mergeCell ref="D672:G672"/>
    <mergeCell ref="C677:G677"/>
    <mergeCell ref="C675:G675"/>
    <mergeCell ref="C676:G676"/>
    <mergeCell ref="C717:G717"/>
    <mergeCell ref="D711:G711"/>
    <mergeCell ref="C712:G712"/>
    <mergeCell ref="C714:G714"/>
    <mergeCell ref="C715:G715"/>
    <mergeCell ref="C175:G175"/>
    <mergeCell ref="C192:G192"/>
    <mergeCell ref="C668:G668"/>
    <mergeCell ref="D921:G921"/>
    <mergeCell ref="C377:G377"/>
    <mergeCell ref="C397:G397"/>
    <mergeCell ref="C398:G398"/>
    <mergeCell ref="C399:G399"/>
    <mergeCell ref="C400:G400"/>
    <mergeCell ref="C401:G401"/>
    <mergeCell ref="C194:G194"/>
    <mergeCell ref="C184:G184"/>
    <mergeCell ref="C185:G185"/>
    <mergeCell ref="C186:G186"/>
    <mergeCell ref="C187:G187"/>
    <mergeCell ref="C193:G193"/>
    <mergeCell ref="C364:G364"/>
    <mergeCell ref="C365:G365"/>
    <mergeCell ref="C352:G352"/>
    <mergeCell ref="C353:G353"/>
    <mergeCell ref="C359:G359"/>
    <mergeCell ref="C360:G360"/>
    <mergeCell ref="C361:G361"/>
    <mergeCell ref="C363:G363"/>
    <mergeCell ref="C393:G393"/>
    <mergeCell ref="C335:G335"/>
    <mergeCell ref="C336:G336"/>
    <mergeCell ref="C337:G337"/>
    <mergeCell ref="C338:G338"/>
    <mergeCell ref="C386:G386"/>
    <mergeCell ref="C387:G387"/>
    <mergeCell ref="C354:G354"/>
    <mergeCell ref="C391:G391"/>
    <mergeCell ref="C351:G351"/>
    <mergeCell ref="C1010:G1010"/>
    <mergeCell ref="C1028:G1028"/>
    <mergeCell ref="C356:G356"/>
    <mergeCell ref="C366:G366"/>
    <mergeCell ref="C367:G367"/>
    <mergeCell ref="C368:G368"/>
    <mergeCell ref="C979:H979"/>
    <mergeCell ref="C370:H370"/>
    <mergeCell ref="C1013:G1013"/>
    <mergeCell ref="C404:G404"/>
    <mergeCell ref="C1022:G1022"/>
    <mergeCell ref="C432:G432"/>
    <mergeCell ref="C975:G975"/>
    <mergeCell ref="C977:G977"/>
    <mergeCell ref="C964:G964"/>
    <mergeCell ref="C965:G965"/>
    <mergeCell ref="C447:G447"/>
    <mergeCell ref="C1011:G1011"/>
    <mergeCell ref="C1012:G1012"/>
    <mergeCell ref="C1009:G1009"/>
    <mergeCell ref="C989:G989"/>
    <mergeCell ref="C993:G993"/>
    <mergeCell ref="C431:G431"/>
    <mergeCell ref="C694:G694"/>
    <mergeCell ref="C960:G960"/>
    <mergeCell ref="C959:G959"/>
    <mergeCell ref="C922:G922"/>
    <mergeCell ref="C459:G459"/>
    <mergeCell ref="C709:G709"/>
    <mergeCell ref="C710:G710"/>
    <mergeCell ref="C471:G471"/>
    <mergeCell ref="C1023:G1023"/>
    <mergeCell ref="C980:G980"/>
    <mergeCell ref="C982:G982"/>
    <mergeCell ref="C983:G983"/>
    <mergeCell ref="C984:G984"/>
    <mergeCell ref="C1001:G1001"/>
    <mergeCell ref="C1002:G1002"/>
    <mergeCell ref="C1003:G1003"/>
    <mergeCell ref="C1008:G1008"/>
    <mergeCell ref="C473:G473"/>
    <mergeCell ref="C916:G916"/>
    <mergeCell ref="D739:G739"/>
    <mergeCell ref="C734:G734"/>
    <mergeCell ref="C735:G735"/>
    <mergeCell ref="C736:G736"/>
    <mergeCell ref="C737:G737"/>
    <mergeCell ref="C725:G725"/>
    <mergeCell ref="C719:G719"/>
    <mergeCell ref="C721:G721"/>
    <mergeCell ref="C307:G307"/>
    <mergeCell ref="C308:G308"/>
    <mergeCell ref="C309:G309"/>
    <mergeCell ref="C310:G310"/>
    <mergeCell ref="C276:G276"/>
    <mergeCell ref="C277:G277"/>
    <mergeCell ref="C231:G231"/>
    <mergeCell ref="C205:G205"/>
    <mergeCell ref="C239:G239"/>
    <mergeCell ref="C212:G212"/>
    <mergeCell ref="C283:G283"/>
    <mergeCell ref="C306:G306"/>
    <mergeCell ref="C304:G304"/>
    <mergeCell ref="C262:G262"/>
    <mergeCell ref="C263:G263"/>
    <mergeCell ref="C270:G270"/>
    <mergeCell ref="C274:G274"/>
    <mergeCell ref="C266:G266"/>
    <mergeCell ref="C271:G271"/>
    <mergeCell ref="C264:G264"/>
    <mergeCell ref="C1029:G1029"/>
    <mergeCell ref="C1027:G1027"/>
    <mergeCell ref="C948:G948"/>
    <mergeCell ref="C949:G949"/>
    <mergeCell ref="C954:G954"/>
    <mergeCell ref="C955:G955"/>
    <mergeCell ref="C958:G958"/>
    <mergeCell ref="C950:G950"/>
    <mergeCell ref="C951:G951"/>
    <mergeCell ref="C1005:G1005"/>
    <mergeCell ref="C411:G411"/>
    <mergeCell ref="C413:G413"/>
    <mergeCell ref="C427:G427"/>
    <mergeCell ref="C451:G451"/>
    <mergeCell ref="C428:G428"/>
    <mergeCell ref="C430:G430"/>
    <mergeCell ref="C417:G417"/>
    <mergeCell ref="C418:G418"/>
    <mergeCell ref="C419:G419"/>
    <mergeCell ref="C445:G445"/>
    <mergeCell ref="C464:G464"/>
    <mergeCell ref="C465:G465"/>
    <mergeCell ref="C467:G467"/>
    <mergeCell ref="D466:G466"/>
    <mergeCell ref="C650:G650"/>
    <mergeCell ref="C455:G455"/>
    <mergeCell ref="C933:G933"/>
    <mergeCell ref="C935:G935"/>
    <mergeCell ref="C925:G925"/>
    <mergeCell ref="C897:G897"/>
    <mergeCell ref="C920:G920"/>
    <mergeCell ref="C928:G928"/>
    <mergeCell ref="C930:G930"/>
    <mergeCell ref="C931:G931"/>
    <mergeCell ref="C952:G952"/>
    <mergeCell ref="C962:G962"/>
    <mergeCell ref="D934:G934"/>
    <mergeCell ref="C961:G961"/>
    <mergeCell ref="C938:G938"/>
    <mergeCell ref="C941:G941"/>
    <mergeCell ref="C944:G944"/>
    <mergeCell ref="C945:G945"/>
    <mergeCell ref="C937:G937"/>
    <mergeCell ref="D946:G946"/>
    <mergeCell ref="C969:G969"/>
    <mergeCell ref="C971:G971"/>
    <mergeCell ref="D976:G976"/>
    <mergeCell ref="C974:G974"/>
    <mergeCell ref="C940:G940"/>
    <mergeCell ref="C939:G939"/>
    <mergeCell ref="C898:G898"/>
    <mergeCell ref="D905:G905"/>
    <mergeCell ref="C902:G902"/>
    <mergeCell ref="C899:G899"/>
    <mergeCell ref="C932:G932"/>
    <mergeCell ref="C927:G927"/>
    <mergeCell ref="C917:G917"/>
    <mergeCell ref="C918:G918"/>
    <mergeCell ref="C929:G929"/>
    <mergeCell ref="C919:G919"/>
    <mergeCell ref="C895:G895"/>
    <mergeCell ref="C813:G813"/>
    <mergeCell ref="C863:G863"/>
    <mergeCell ref="C869:G869"/>
    <mergeCell ref="C870:G870"/>
    <mergeCell ref="D914:G914"/>
    <mergeCell ref="C906:G906"/>
    <mergeCell ref="C880:G880"/>
    <mergeCell ref="C808:G808"/>
    <mergeCell ref="C809:G809"/>
    <mergeCell ref="D814:G814"/>
    <mergeCell ref="C826:G826"/>
    <mergeCell ref="C825:G825"/>
    <mergeCell ref="C815:G815"/>
    <mergeCell ref="C457:G457"/>
    <mergeCell ref="D564:G564"/>
    <mergeCell ref="C879:G879"/>
    <mergeCell ref="C769:G769"/>
    <mergeCell ref="D759:G759"/>
    <mergeCell ref="C752:G752"/>
    <mergeCell ref="C753:G753"/>
    <mergeCell ref="D788:G788"/>
    <mergeCell ref="C797:G797"/>
    <mergeCell ref="C871:G871"/>
    <mergeCell ref="C433:G433"/>
    <mergeCell ref="C434:G434"/>
    <mergeCell ref="C436:G436"/>
    <mergeCell ref="C454:G454"/>
    <mergeCell ref="D435:G435"/>
    <mergeCell ref="C449:G449"/>
    <mergeCell ref="C450:G450"/>
    <mergeCell ref="C425:G425"/>
    <mergeCell ref="C416:G416"/>
    <mergeCell ref="C422:G422"/>
    <mergeCell ref="C423:G423"/>
    <mergeCell ref="C424:G424"/>
    <mergeCell ref="C485:G485"/>
    <mergeCell ref="C469:G469"/>
    <mergeCell ref="C484:G484"/>
    <mergeCell ref="C811:G811"/>
    <mergeCell ref="D802:G802"/>
    <mergeCell ref="C799:G799"/>
    <mergeCell ref="C806:G806"/>
    <mergeCell ref="C810:G810"/>
    <mergeCell ref="C807:G807"/>
    <mergeCell ref="C800:G800"/>
    <mergeCell ref="C912:G912"/>
    <mergeCell ref="C913:G913"/>
    <mergeCell ref="C900:G900"/>
    <mergeCell ref="C901:G901"/>
    <mergeCell ref="C903:G903"/>
    <mergeCell ref="C904:G904"/>
    <mergeCell ref="C908:G908"/>
    <mergeCell ref="C911:G911"/>
    <mergeCell ref="C910:G910"/>
    <mergeCell ref="C909:G909"/>
    <mergeCell ref="C409:G409"/>
    <mergeCell ref="C357:G357"/>
    <mergeCell ref="C358:G358"/>
    <mergeCell ref="C410:G410"/>
    <mergeCell ref="C394:G394"/>
    <mergeCell ref="C395:G395"/>
    <mergeCell ref="C381:G381"/>
    <mergeCell ref="C382:G382"/>
    <mergeCell ref="C383:G383"/>
    <mergeCell ref="C392:G392"/>
    <mergeCell ref="C311:G311"/>
    <mergeCell ref="C315:G315"/>
    <mergeCell ref="C406:G406"/>
    <mergeCell ref="C407:G407"/>
    <mergeCell ref="C318:G318"/>
    <mergeCell ref="C321:G321"/>
    <mergeCell ref="C313:G313"/>
    <mergeCell ref="C316:G316"/>
    <mergeCell ref="C317:G317"/>
    <mergeCell ref="C319:G319"/>
    <mergeCell ref="C885:G885"/>
    <mergeCell ref="C886:G886"/>
    <mergeCell ref="C884:G884"/>
    <mergeCell ref="C874:G874"/>
    <mergeCell ref="C883:G883"/>
    <mergeCell ref="C834:G834"/>
    <mergeCell ref="C836:G836"/>
    <mergeCell ref="D833:G833"/>
    <mergeCell ref="C823:G823"/>
    <mergeCell ref="C827:G827"/>
    <mergeCell ref="C824:G824"/>
    <mergeCell ref="C831:G831"/>
    <mergeCell ref="C828:G828"/>
    <mergeCell ref="C829:G829"/>
    <mergeCell ref="C830:G830"/>
    <mergeCell ref="C868:G868"/>
    <mergeCell ref="C867:G867"/>
    <mergeCell ref="C877:G877"/>
    <mergeCell ref="C878:G878"/>
    <mergeCell ref="C872:G872"/>
    <mergeCell ref="D873:G873"/>
    <mergeCell ref="C841:G841"/>
    <mergeCell ref="C323:G323"/>
    <mergeCell ref="C324:G324"/>
    <mergeCell ref="C325:G325"/>
    <mergeCell ref="C326:G326"/>
    <mergeCell ref="C379:H379"/>
    <mergeCell ref="C380:G380"/>
    <mergeCell ref="C812:G812"/>
    <mergeCell ref="C805:G805"/>
    <mergeCell ref="C832:G832"/>
    <mergeCell ref="C838:G838"/>
    <mergeCell ref="C839:G839"/>
    <mergeCell ref="C840:G840"/>
    <mergeCell ref="C837:G837"/>
    <mergeCell ref="C891:G891"/>
    <mergeCell ref="C892:G892"/>
    <mergeCell ref="C888:H888"/>
    <mergeCell ref="C889:G889"/>
    <mergeCell ref="C890:G890"/>
    <mergeCell ref="C801:G801"/>
    <mergeCell ref="C803:G803"/>
    <mergeCell ref="C766:G766"/>
    <mergeCell ref="C770:G770"/>
    <mergeCell ref="C772:G772"/>
    <mergeCell ref="C773:G773"/>
    <mergeCell ref="C796:G796"/>
    <mergeCell ref="C798:G798"/>
    <mergeCell ref="C785:G785"/>
    <mergeCell ref="C786:G786"/>
    <mergeCell ref="C765:G765"/>
    <mergeCell ref="C743:G743"/>
    <mergeCell ref="C744:G744"/>
    <mergeCell ref="C745:G745"/>
    <mergeCell ref="C746:G746"/>
    <mergeCell ref="C787:G787"/>
    <mergeCell ref="C789:G789"/>
    <mergeCell ref="C793:G793"/>
    <mergeCell ref="C775:G775"/>
    <mergeCell ref="C776:G776"/>
    <mergeCell ref="C781:G781"/>
    <mergeCell ref="C778:G778"/>
    <mergeCell ref="D767:G767"/>
    <mergeCell ref="C795:G795"/>
    <mergeCell ref="C784:G784"/>
    <mergeCell ref="C763:G763"/>
    <mergeCell ref="C764:G764"/>
    <mergeCell ref="C783:G783"/>
    <mergeCell ref="D777:G777"/>
    <mergeCell ref="C771:G771"/>
    <mergeCell ref="C782:G782"/>
    <mergeCell ref="C780:G780"/>
    <mergeCell ref="C774:G774"/>
    <mergeCell ref="C134:G134"/>
    <mergeCell ref="C135:G135"/>
    <mergeCell ref="C133:G133"/>
    <mergeCell ref="C754:G754"/>
    <mergeCell ref="C751:G751"/>
    <mergeCell ref="C742:G742"/>
    <mergeCell ref="C750:G750"/>
    <mergeCell ref="C747:G747"/>
    <mergeCell ref="C322:G322"/>
    <mergeCell ref="D412:G412"/>
    <mergeCell ref="C159:G159"/>
    <mergeCell ref="D146:G146"/>
    <mergeCell ref="C147:G147"/>
    <mergeCell ref="C158:G158"/>
    <mergeCell ref="C152:G152"/>
    <mergeCell ref="C153:G153"/>
    <mergeCell ref="C154:G154"/>
    <mergeCell ref="C155:G155"/>
    <mergeCell ref="C161:G161"/>
    <mergeCell ref="C126:G126"/>
    <mergeCell ref="C127:G127"/>
    <mergeCell ref="C150:G150"/>
    <mergeCell ref="C143:G143"/>
    <mergeCell ref="C144:G144"/>
    <mergeCell ref="C141:G141"/>
    <mergeCell ref="C145:G145"/>
    <mergeCell ref="C142:G142"/>
    <mergeCell ref="D138:G138"/>
    <mergeCell ref="C139:G139"/>
    <mergeCell ref="C169:G169"/>
    <mergeCell ref="C209:G209"/>
    <mergeCell ref="C265:G265"/>
    <mergeCell ref="C165:G165"/>
    <mergeCell ref="C190:G190"/>
    <mergeCell ref="C191:G191"/>
    <mergeCell ref="C203:G203"/>
    <mergeCell ref="C202:G202"/>
    <mergeCell ref="C166:G166"/>
    <mergeCell ref="C167:G167"/>
    <mergeCell ref="C162:G162"/>
    <mergeCell ref="C260:G260"/>
    <mergeCell ref="C287:G287"/>
    <mergeCell ref="C269:G269"/>
    <mergeCell ref="C229:G229"/>
    <mergeCell ref="C197:G197"/>
    <mergeCell ref="C241:G241"/>
    <mergeCell ref="C245:G245"/>
    <mergeCell ref="C275:G275"/>
    <mergeCell ref="C282:G282"/>
    <mergeCell ref="C107:G107"/>
    <mergeCell ref="C132:G132"/>
    <mergeCell ref="C109:G109"/>
    <mergeCell ref="C117:H117"/>
    <mergeCell ref="C123:H123"/>
    <mergeCell ref="C118:G118"/>
    <mergeCell ref="C130:G130"/>
    <mergeCell ref="C110:G110"/>
    <mergeCell ref="D128:G128"/>
    <mergeCell ref="C111:G111"/>
    <mergeCell ref="C87:G87"/>
    <mergeCell ref="C88:G88"/>
    <mergeCell ref="C89:G89"/>
    <mergeCell ref="C94:G94"/>
    <mergeCell ref="C91:G91"/>
    <mergeCell ref="C112:G112"/>
    <mergeCell ref="C113:G113"/>
    <mergeCell ref="C119:G119"/>
    <mergeCell ref="D114:G114"/>
    <mergeCell ref="C115:G115"/>
    <mergeCell ref="C120:G120"/>
    <mergeCell ref="C121:G121"/>
    <mergeCell ref="C124:G124"/>
    <mergeCell ref="C125:G125"/>
    <mergeCell ref="C79:G79"/>
    <mergeCell ref="C80:G80"/>
    <mergeCell ref="C66:G66"/>
    <mergeCell ref="C67:G67"/>
    <mergeCell ref="C68:G68"/>
    <mergeCell ref="C72:G72"/>
    <mergeCell ref="C75:G75"/>
    <mergeCell ref="C76:G76"/>
    <mergeCell ref="C78:G78"/>
    <mergeCell ref="C73:G73"/>
    <mergeCell ref="C58:G58"/>
    <mergeCell ref="C59:G59"/>
    <mergeCell ref="C60:G60"/>
    <mergeCell ref="C61:G61"/>
    <mergeCell ref="C74:G74"/>
    <mergeCell ref="C62:G62"/>
    <mergeCell ref="C64:G64"/>
    <mergeCell ref="D19:G19"/>
    <mergeCell ref="C49:G49"/>
    <mergeCell ref="C50:G50"/>
    <mergeCell ref="C30:G30"/>
    <mergeCell ref="C32:G32"/>
    <mergeCell ref="C48:G48"/>
    <mergeCell ref="C27:G27"/>
    <mergeCell ref="C28:G28"/>
    <mergeCell ref="C39:G39"/>
    <mergeCell ref="C40:G40"/>
    <mergeCell ref="C8:G8"/>
    <mergeCell ref="C10:G10"/>
    <mergeCell ref="C12:G12"/>
    <mergeCell ref="C13:G13"/>
    <mergeCell ref="C15:G15"/>
    <mergeCell ref="C16:G16"/>
    <mergeCell ref="C25:G25"/>
    <mergeCell ref="C26:G26"/>
    <mergeCell ref="C24:G24"/>
    <mergeCell ref="C17:G17"/>
    <mergeCell ref="C18:G18"/>
    <mergeCell ref="C20:G20"/>
    <mergeCell ref="C22:G22"/>
    <mergeCell ref="C23:G23"/>
    <mergeCell ref="D29:G29"/>
    <mergeCell ref="D37:G37"/>
    <mergeCell ref="C33:G33"/>
    <mergeCell ref="C34:G34"/>
    <mergeCell ref="C35:G35"/>
    <mergeCell ref="C36:G36"/>
    <mergeCell ref="C42:G42"/>
    <mergeCell ref="D44:G44"/>
    <mergeCell ref="C43:G43"/>
    <mergeCell ref="C41:G41"/>
    <mergeCell ref="C290:G290"/>
    <mergeCell ref="C291:G291"/>
    <mergeCell ref="C292:G292"/>
    <mergeCell ref="C46:G46"/>
    <mergeCell ref="C47:G47"/>
    <mergeCell ref="C52:G52"/>
    <mergeCell ref="C53:G53"/>
    <mergeCell ref="C54:G54"/>
    <mergeCell ref="C55:G55"/>
    <mergeCell ref="C56:G56"/>
    <mergeCell ref="C136:G136"/>
    <mergeCell ref="C137:G137"/>
    <mergeCell ref="C286:G286"/>
    <mergeCell ref="C285:G285"/>
    <mergeCell ref="C272:G272"/>
    <mergeCell ref="C280:G280"/>
    <mergeCell ref="C281:G281"/>
    <mergeCell ref="D278:G278"/>
    <mergeCell ref="C163:G163"/>
    <mergeCell ref="C160:G160"/>
    <mergeCell ref="D288:G288"/>
    <mergeCell ref="C293:G293"/>
    <mergeCell ref="C943:G943"/>
    <mergeCell ref="C953:G953"/>
    <mergeCell ref="C294:G294"/>
    <mergeCell ref="D295:G295"/>
    <mergeCell ref="C297:G297"/>
    <mergeCell ref="C298:G298"/>
    <mergeCell ref="C299:G299"/>
    <mergeCell ref="C300:G300"/>
    <mergeCell ref="D956:G956"/>
    <mergeCell ref="C332:G332"/>
    <mergeCell ref="C738:G738"/>
    <mergeCell ref="C421:G421"/>
    <mergeCell ref="C848:G848"/>
    <mergeCell ref="C865:G865"/>
    <mergeCell ref="C866:G866"/>
    <mergeCell ref="C340:G340"/>
    <mergeCell ref="C341:G341"/>
    <mergeCell ref="C343:G343"/>
    <mergeCell ref="C301:G301"/>
    <mergeCell ref="C942:G942"/>
    <mergeCell ref="C820:G820"/>
    <mergeCell ref="C821:G821"/>
    <mergeCell ref="C328:G328"/>
    <mergeCell ref="C329:G329"/>
    <mergeCell ref="C330:G330"/>
    <mergeCell ref="C331:G331"/>
    <mergeCell ref="C385:G385"/>
    <mergeCell ref="C762:G762"/>
    <mergeCell ref="D966:G966"/>
    <mergeCell ref="C967:G967"/>
    <mergeCell ref="C539:G539"/>
    <mergeCell ref="C552:G552"/>
    <mergeCell ref="C819:G819"/>
    <mergeCell ref="C740:G740"/>
    <mergeCell ref="C749:G749"/>
    <mergeCell ref="C842:G842"/>
    <mergeCell ref="C843:G843"/>
    <mergeCell ref="C845:G845"/>
    <mergeCell ref="C963:G963"/>
    <mergeCell ref="C388:G388"/>
    <mergeCell ref="C389:G389"/>
    <mergeCell ref="C817:G817"/>
    <mergeCell ref="C818:G818"/>
    <mergeCell ref="C760:G760"/>
    <mergeCell ref="C755:G755"/>
    <mergeCell ref="C756:G756"/>
    <mergeCell ref="C757:G757"/>
    <mergeCell ref="C758:G758"/>
  </mergeCells>
  <printOptions/>
  <pageMargins left="0.32" right="0.16" top="0.28" bottom="0.41" header="0.22" footer="0.17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zoomScale="120" zoomScaleNormal="120" workbookViewId="0" topLeftCell="A1">
      <selection activeCell="E40" sqref="E40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9.140625" style="222" customWidth="1"/>
    <col min="4" max="4" width="9.140625" style="1" customWidth="1"/>
    <col min="5" max="5" width="32.421875" style="1" customWidth="1"/>
    <col min="6" max="6" width="11.28125" style="101" customWidth="1"/>
    <col min="7" max="7" width="11.421875" style="101" customWidth="1"/>
    <col min="8" max="8" width="11.57421875" style="101" customWidth="1"/>
    <col min="9" max="16384" width="9.140625" style="1" customWidth="1"/>
  </cols>
  <sheetData>
    <row r="1" spans="5:8" ht="12.75">
      <c r="E1" s="222"/>
      <c r="F1" s="223"/>
      <c r="G1" s="223" t="s">
        <v>382</v>
      </c>
      <c r="H1" s="223"/>
    </row>
    <row r="2" spans="5:8" ht="12.75">
      <c r="E2" s="222"/>
      <c r="F2" s="74"/>
      <c r="G2" s="74" t="s">
        <v>439</v>
      </c>
      <c r="H2" s="74"/>
    </row>
    <row r="3" spans="5:8" ht="12.75">
      <c r="E3" s="222"/>
      <c r="F3" s="74"/>
      <c r="G3" s="74" t="s">
        <v>494</v>
      </c>
      <c r="H3" s="74"/>
    </row>
    <row r="4" spans="5:8" ht="12.75">
      <c r="E4" s="222"/>
      <c r="F4" s="74"/>
      <c r="G4" s="74" t="s">
        <v>495</v>
      </c>
      <c r="H4" s="74"/>
    </row>
    <row r="6" spans="2:7" s="224" customFormat="1" ht="39" customHeight="1">
      <c r="B6" s="293" t="s">
        <v>383</v>
      </c>
      <c r="C6" s="293"/>
      <c r="D6" s="293"/>
      <c r="E6" s="293"/>
      <c r="F6" s="293"/>
      <c r="G6" s="293"/>
    </row>
    <row r="7" ht="10.5" customHeight="1"/>
    <row r="8" spans="2:8" s="9" customFormat="1" ht="51.75" customHeight="1">
      <c r="B8" s="327" t="s">
        <v>2</v>
      </c>
      <c r="C8" s="327"/>
      <c r="D8" s="327"/>
      <c r="E8" s="327"/>
      <c r="F8" s="7" t="s">
        <v>447</v>
      </c>
      <c r="G8" s="7" t="s">
        <v>440</v>
      </c>
      <c r="H8" s="7" t="s">
        <v>448</v>
      </c>
    </row>
    <row r="9" spans="2:8" s="5" customFormat="1" ht="12.75">
      <c r="B9" s="225"/>
      <c r="C9" s="226"/>
      <c r="D9" s="225"/>
      <c r="E9" s="225"/>
      <c r="F9" s="225"/>
      <c r="G9" s="225"/>
      <c r="H9" s="225"/>
    </row>
    <row r="10" spans="2:8" s="120" customFormat="1" ht="15">
      <c r="B10" s="338" t="s">
        <v>327</v>
      </c>
      <c r="C10" s="338"/>
      <c r="D10" s="338"/>
      <c r="E10" s="338"/>
      <c r="F10" s="218">
        <f>'[1]2.piel.'!H8-'[1]2.piel.'!H80</f>
        <v>-902810</v>
      </c>
      <c r="G10" s="218">
        <f>'2.pielik.'!I9-'2.pielik.'!I39</f>
        <v>0</v>
      </c>
      <c r="H10" s="218">
        <f>'2.pielik.'!J9-'2.pielik.'!J39</f>
        <v>-902810</v>
      </c>
    </row>
    <row r="11" spans="2:8" s="120" customFormat="1" ht="15">
      <c r="B11" s="338" t="s">
        <v>329</v>
      </c>
      <c r="C11" s="285"/>
      <c r="D11" s="285"/>
      <c r="E11" s="285"/>
      <c r="F11" s="218">
        <f>SUM(F13)</f>
        <v>902810</v>
      </c>
      <c r="G11" s="218">
        <f>SUM(G13)</f>
        <v>0</v>
      </c>
      <c r="H11" s="218">
        <f>SUM(H13)</f>
        <v>902810</v>
      </c>
    </row>
    <row r="12" spans="2:8" s="115" customFormat="1" ht="10.5" customHeight="1">
      <c r="B12" s="228"/>
      <c r="C12" s="114"/>
      <c r="D12" s="229"/>
      <c r="E12" s="229"/>
      <c r="F12" s="196"/>
      <c r="G12" s="196"/>
      <c r="H12" s="196"/>
    </row>
    <row r="13" spans="2:8" s="115" customFormat="1" ht="12.75">
      <c r="B13" s="342" t="s">
        <v>384</v>
      </c>
      <c r="C13" s="343"/>
      <c r="D13" s="343"/>
      <c r="E13" s="343"/>
      <c r="F13" s="227">
        <f>F15+F20+F29</f>
        <v>902810</v>
      </c>
      <c r="G13" s="227">
        <f>G15+G20+G29</f>
        <v>0</v>
      </c>
      <c r="H13" s="227">
        <f>H15+H20+H29</f>
        <v>902810</v>
      </c>
    </row>
    <row r="14" spans="2:8" s="115" customFormat="1" ht="12.75">
      <c r="B14" s="344" t="s">
        <v>385</v>
      </c>
      <c r="C14" s="344"/>
      <c r="D14" s="344"/>
      <c r="E14" s="344"/>
      <c r="F14" s="227">
        <f>F15</f>
        <v>-78728</v>
      </c>
      <c r="G14" s="227">
        <f>G15</f>
        <v>0</v>
      </c>
      <c r="H14" s="227">
        <f>H15</f>
        <v>-78728</v>
      </c>
    </row>
    <row r="15" spans="2:8" s="115" customFormat="1" ht="21.75" customHeight="1">
      <c r="B15" s="345" t="s">
        <v>386</v>
      </c>
      <c r="C15" s="346"/>
      <c r="D15" s="346"/>
      <c r="E15" s="346"/>
      <c r="F15" s="29">
        <f>F16+F17+F18</f>
        <v>-78728</v>
      </c>
      <c r="G15" s="29">
        <f>G16+G17+G18</f>
        <v>0</v>
      </c>
      <c r="H15" s="29">
        <f>H16+H17+H18</f>
        <v>-78728</v>
      </c>
    </row>
    <row r="16" spans="2:8" s="114" customFormat="1" ht="12.75">
      <c r="B16" s="113"/>
      <c r="C16" s="332" t="s">
        <v>496</v>
      </c>
      <c r="D16" s="332"/>
      <c r="E16" s="332"/>
      <c r="F16" s="204">
        <v>-25000</v>
      </c>
      <c r="G16" s="204"/>
      <c r="H16" s="204">
        <f>SUM(F16:G16)</f>
        <v>-25000</v>
      </c>
    </row>
    <row r="17" spans="2:8" s="115" customFormat="1" ht="12.75">
      <c r="B17" s="113"/>
      <c r="C17" s="332" t="s">
        <v>387</v>
      </c>
      <c r="D17" s="332"/>
      <c r="E17" s="332"/>
      <c r="F17" s="103">
        <v>-25000</v>
      </c>
      <c r="G17" s="103"/>
      <c r="H17" s="204">
        <f>SUM(F17:G17)</f>
        <v>-25000</v>
      </c>
    </row>
    <row r="18" spans="2:8" s="115" customFormat="1" ht="12.75">
      <c r="B18" s="113"/>
      <c r="C18" s="332" t="s">
        <v>388</v>
      </c>
      <c r="D18" s="332"/>
      <c r="E18" s="332"/>
      <c r="F18" s="103">
        <v>-28728</v>
      </c>
      <c r="G18" s="103"/>
      <c r="H18" s="204">
        <f>SUM(F18:G18)</f>
        <v>-28728</v>
      </c>
    </row>
    <row r="19" spans="2:8" s="115" customFormat="1" ht="21.75" customHeight="1">
      <c r="B19" s="113"/>
      <c r="C19" s="230"/>
      <c r="D19" s="230"/>
      <c r="E19" s="230"/>
      <c r="F19" s="103"/>
      <c r="G19" s="103"/>
      <c r="H19" s="103"/>
    </row>
    <row r="20" spans="2:8" s="115" customFormat="1" ht="12.75">
      <c r="B20" s="344" t="s">
        <v>497</v>
      </c>
      <c r="C20" s="347"/>
      <c r="D20" s="347"/>
      <c r="E20" s="347"/>
      <c r="F20" s="227">
        <f>F21-F27</f>
        <v>1369926</v>
      </c>
      <c r="G20" s="227">
        <f>G21-G27</f>
        <v>0</v>
      </c>
      <c r="H20" s="227">
        <f>H21-H27</f>
        <v>1369926</v>
      </c>
    </row>
    <row r="21" spans="2:8" s="115" customFormat="1" ht="12.75">
      <c r="B21" s="348" t="s">
        <v>389</v>
      </c>
      <c r="C21" s="347"/>
      <c r="D21" s="347"/>
      <c r="E21" s="347"/>
      <c r="F21" s="29">
        <f>F22+F23</f>
        <v>1369926</v>
      </c>
      <c r="G21" s="29">
        <f>G22+G23</f>
        <v>0</v>
      </c>
      <c r="H21" s="29">
        <f>H22+H23</f>
        <v>1369926</v>
      </c>
    </row>
    <row r="22" spans="2:8" s="115" customFormat="1" ht="15.75" customHeight="1">
      <c r="B22" s="332" t="s">
        <v>498</v>
      </c>
      <c r="C22" s="332"/>
      <c r="D22" s="332"/>
      <c r="E22" s="332"/>
      <c r="F22" s="103">
        <v>36111</v>
      </c>
      <c r="G22" s="103"/>
      <c r="H22" s="103">
        <f>SUM(F22:G22)</f>
        <v>36111</v>
      </c>
    </row>
    <row r="23" spans="2:8" s="115" customFormat="1" ht="12.75">
      <c r="B23" s="332" t="s">
        <v>390</v>
      </c>
      <c r="C23" s="332"/>
      <c r="D23" s="332"/>
      <c r="E23" s="332"/>
      <c r="F23" s="103">
        <f>F24+F25+F26</f>
        <v>1333815</v>
      </c>
      <c r="G23" s="103">
        <f>G24+G25+G26</f>
        <v>0</v>
      </c>
      <c r="H23" s="103">
        <f>H24+H25+H26</f>
        <v>1333815</v>
      </c>
    </row>
    <row r="24" spans="2:8" s="115" customFormat="1" ht="11.25" customHeight="1">
      <c r="B24" s="110"/>
      <c r="C24" s="332" t="s">
        <v>499</v>
      </c>
      <c r="D24" s="332"/>
      <c r="E24" s="332"/>
      <c r="F24" s="103">
        <v>1053838</v>
      </c>
      <c r="G24" s="103"/>
      <c r="H24" s="103">
        <f>SUM(F24:G24)</f>
        <v>1053838</v>
      </c>
    </row>
    <row r="25" spans="2:8" s="115" customFormat="1" ht="11.25" customHeight="1">
      <c r="B25" s="110"/>
      <c r="C25" s="332" t="s">
        <v>391</v>
      </c>
      <c r="D25" s="332"/>
      <c r="E25" s="332"/>
      <c r="F25" s="103">
        <v>210499</v>
      </c>
      <c r="G25" s="103"/>
      <c r="H25" s="103">
        <f>SUM(F25:G25)</f>
        <v>210499</v>
      </c>
    </row>
    <row r="26" spans="2:8" s="115" customFormat="1" ht="11.25" customHeight="1">
      <c r="B26" s="110"/>
      <c r="C26" s="332" t="s">
        <v>392</v>
      </c>
      <c r="D26" s="332"/>
      <c r="E26" s="332"/>
      <c r="F26" s="103">
        <v>69478</v>
      </c>
      <c r="G26" s="103"/>
      <c r="H26" s="103">
        <f>SUM(F26:G26)</f>
        <v>69478</v>
      </c>
    </row>
    <row r="27" spans="2:8" s="115" customFormat="1" ht="12.75">
      <c r="B27" s="348" t="s">
        <v>297</v>
      </c>
      <c r="C27" s="347"/>
      <c r="D27" s="347"/>
      <c r="E27" s="347"/>
      <c r="F27" s="29">
        <v>0</v>
      </c>
      <c r="G27" s="29">
        <v>0</v>
      </c>
      <c r="H27" s="29">
        <v>0</v>
      </c>
    </row>
    <row r="28" spans="2:8" s="115" customFormat="1" ht="11.25" customHeight="1">
      <c r="B28" s="113"/>
      <c r="C28" s="230"/>
      <c r="D28" s="230"/>
      <c r="E28" s="230"/>
      <c r="F28" s="103"/>
      <c r="G28" s="103"/>
      <c r="H28" s="103"/>
    </row>
    <row r="29" spans="2:8" s="115" customFormat="1" ht="12.75">
      <c r="B29" s="344" t="s">
        <v>393</v>
      </c>
      <c r="C29" s="347"/>
      <c r="D29" s="347"/>
      <c r="E29" s="347"/>
      <c r="F29" s="227">
        <f>F30</f>
        <v>-388388</v>
      </c>
      <c r="G29" s="227">
        <f>G30</f>
        <v>0</v>
      </c>
      <c r="H29" s="227">
        <f>H30</f>
        <v>-388388</v>
      </c>
    </row>
    <row r="30" spans="2:8" s="115" customFormat="1" ht="12.75">
      <c r="B30" s="348" t="s">
        <v>394</v>
      </c>
      <c r="C30" s="347"/>
      <c r="D30" s="347"/>
      <c r="E30" s="347"/>
      <c r="F30" s="29">
        <f>F31+F32+F33+F34</f>
        <v>-388388</v>
      </c>
      <c r="G30" s="29">
        <f>G31+G32+G33+G34</f>
        <v>0</v>
      </c>
      <c r="H30" s="29">
        <f>H31+H32+H33+H34</f>
        <v>-388388</v>
      </c>
    </row>
    <row r="31" spans="2:8" s="42" customFormat="1" ht="11.25">
      <c r="B31" s="349" t="s">
        <v>500</v>
      </c>
      <c r="C31" s="349"/>
      <c r="D31" s="349"/>
      <c r="E31" s="349"/>
      <c r="F31" s="103">
        <v>-120000</v>
      </c>
      <c r="G31" s="103"/>
      <c r="H31" s="103">
        <f>SUM(F31:G31)</f>
        <v>-120000</v>
      </c>
    </row>
    <row r="32" spans="2:8" s="42" customFormat="1" ht="11.25">
      <c r="B32" s="349" t="s">
        <v>501</v>
      </c>
      <c r="C32" s="349"/>
      <c r="D32" s="349"/>
      <c r="E32" s="349"/>
      <c r="F32" s="103">
        <v>-136264</v>
      </c>
      <c r="G32" s="103"/>
      <c r="H32" s="103">
        <f>SUM(F32:G32)</f>
        <v>-136264</v>
      </c>
    </row>
    <row r="33" spans="2:8" s="42" customFormat="1" ht="11.25">
      <c r="B33" s="352" t="s">
        <v>502</v>
      </c>
      <c r="C33" s="352"/>
      <c r="D33" s="352"/>
      <c r="E33" s="352"/>
      <c r="F33" s="103">
        <v>-100000</v>
      </c>
      <c r="G33" s="103"/>
      <c r="H33" s="103">
        <f>SUM(F33:G33)</f>
        <v>-100000</v>
      </c>
    </row>
    <row r="34" spans="2:8" s="42" customFormat="1" ht="10.5" customHeight="1">
      <c r="B34" s="332" t="s">
        <v>503</v>
      </c>
      <c r="C34" s="332"/>
      <c r="D34" s="332"/>
      <c r="E34" s="332"/>
      <c r="F34" s="103">
        <v>-32124</v>
      </c>
      <c r="G34" s="103"/>
      <c r="H34" s="103">
        <f>SUM(F34:G34)</f>
        <v>-32124</v>
      </c>
    </row>
    <row r="35" spans="2:8" s="115" customFormat="1" ht="12.75">
      <c r="B35" s="353"/>
      <c r="C35" s="347"/>
      <c r="D35" s="347"/>
      <c r="E35" s="347"/>
      <c r="F35" s="196"/>
      <c r="G35" s="196"/>
      <c r="H35" s="196"/>
    </row>
    <row r="36" spans="2:8" s="115" customFormat="1" ht="12.75">
      <c r="B36" s="349"/>
      <c r="C36" s="347"/>
      <c r="D36" s="347"/>
      <c r="E36" s="347"/>
      <c r="F36" s="103"/>
      <c r="G36" s="103"/>
      <c r="H36" s="103"/>
    </row>
    <row r="38" spans="2:8" ht="12.75">
      <c r="B38" s="350" t="s">
        <v>395</v>
      </c>
      <c r="C38" s="350"/>
      <c r="D38" s="350"/>
      <c r="E38" s="350"/>
      <c r="F38" s="351"/>
      <c r="G38" s="1"/>
      <c r="H38" s="1"/>
    </row>
  </sheetData>
  <mergeCells count="27">
    <mergeCell ref="B36:E36"/>
    <mergeCell ref="B38:F38"/>
    <mergeCell ref="B32:E32"/>
    <mergeCell ref="B33:E33"/>
    <mergeCell ref="B34:E34"/>
    <mergeCell ref="B35:E35"/>
    <mergeCell ref="B27:E27"/>
    <mergeCell ref="B29:E29"/>
    <mergeCell ref="B30:E30"/>
    <mergeCell ref="B31:E31"/>
    <mergeCell ref="B23:E23"/>
    <mergeCell ref="C24:E24"/>
    <mergeCell ref="C25:E25"/>
    <mergeCell ref="C26:E26"/>
    <mergeCell ref="B20:E20"/>
    <mergeCell ref="B21:E21"/>
    <mergeCell ref="B22:E22"/>
    <mergeCell ref="C17:E17"/>
    <mergeCell ref="C18:E18"/>
    <mergeCell ref="B13:E13"/>
    <mergeCell ref="B14:E14"/>
    <mergeCell ref="B15:E15"/>
    <mergeCell ref="C16:E16"/>
    <mergeCell ref="B8:E8"/>
    <mergeCell ref="B10:E10"/>
    <mergeCell ref="B11:E11"/>
    <mergeCell ref="B6:G6"/>
  </mergeCells>
  <printOptions/>
  <pageMargins left="0.46" right="0.16" top="0.33" bottom="0.31" header="0.26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2"/>
  <sheetViews>
    <sheetView workbookViewId="0" topLeftCell="I1">
      <selection activeCell="O30" sqref="O30"/>
    </sheetView>
  </sheetViews>
  <sheetFormatPr defaultColWidth="9.140625" defaultRowHeight="12.75"/>
  <cols>
    <col min="1" max="1" width="6.140625" style="1" customWidth="1"/>
    <col min="2" max="2" width="8.28125" style="1" customWidth="1"/>
    <col min="3" max="3" width="8.00390625" style="1" customWidth="1"/>
    <col min="4" max="4" width="6.28125" style="1" customWidth="1"/>
    <col min="5" max="5" width="8.140625" style="1" customWidth="1"/>
    <col min="6" max="7" width="7.421875" style="1" customWidth="1"/>
    <col min="8" max="8" width="8.57421875" style="1" customWidth="1"/>
    <col min="9" max="9" width="8.140625" style="1" customWidth="1"/>
    <col min="10" max="10" width="7.7109375" style="1" customWidth="1"/>
    <col min="11" max="11" width="8.140625" style="1" customWidth="1"/>
    <col min="12" max="12" width="8.00390625" style="1" customWidth="1"/>
    <col min="13" max="13" width="7.421875" style="1" customWidth="1"/>
    <col min="14" max="14" width="6.28125" style="1" customWidth="1"/>
    <col min="15" max="15" width="7.140625" style="1" customWidth="1"/>
    <col min="16" max="16" width="6.140625" style="1" customWidth="1"/>
    <col min="17" max="17" width="6.8515625" style="1" customWidth="1"/>
    <col min="18" max="18" width="6.57421875" style="1" customWidth="1"/>
    <col min="19" max="19" width="8.57421875" style="1" customWidth="1"/>
    <col min="20" max="20" width="7.00390625" style="1" customWidth="1"/>
    <col min="21" max="22" width="7.140625" style="1" customWidth="1"/>
    <col min="23" max="23" width="6.7109375" style="1" customWidth="1"/>
    <col min="24" max="24" width="8.00390625" style="1" customWidth="1"/>
    <col min="25" max="25" width="7.00390625" style="1" customWidth="1"/>
    <col min="26" max="26" width="6.8515625" style="1" customWidth="1"/>
    <col min="27" max="27" width="8.00390625" style="1" customWidth="1"/>
    <col min="28" max="28" width="7.7109375" style="1" customWidth="1"/>
    <col min="29" max="29" width="8.8515625" style="1" customWidth="1"/>
    <col min="30" max="16384" width="9.140625" style="1" customWidth="1"/>
  </cols>
  <sheetData>
    <row r="1" spans="19:34" ht="12.75">
      <c r="S1" s="223" t="s">
        <v>396</v>
      </c>
      <c r="T1" s="223"/>
      <c r="U1" s="223"/>
      <c r="AH1" s="1">
        <v>2</v>
      </c>
    </row>
    <row r="2" spans="19:21" ht="12.75">
      <c r="S2" s="74" t="s">
        <v>439</v>
      </c>
      <c r="T2" s="74"/>
      <c r="U2" s="74"/>
    </row>
    <row r="3" spans="19:21" ht="12.75">
      <c r="S3" s="74" t="s">
        <v>494</v>
      </c>
      <c r="T3" s="74"/>
      <c r="U3" s="74"/>
    </row>
    <row r="4" spans="19:21" ht="12.75">
      <c r="S4" s="74" t="s">
        <v>495</v>
      </c>
      <c r="T4" s="74"/>
      <c r="U4" s="74"/>
    </row>
    <row r="5" spans="4:12" ht="15.75">
      <c r="D5" s="320" t="s">
        <v>397</v>
      </c>
      <c r="E5" s="320"/>
      <c r="F5" s="320"/>
      <c r="G5" s="320"/>
      <c r="H5" s="320"/>
      <c r="I5" s="320"/>
      <c r="J5" s="320"/>
      <c r="K5" s="320"/>
      <c r="L5" s="320"/>
    </row>
    <row r="6" ht="15.75">
      <c r="D6" s="260"/>
    </row>
    <row r="7" spans="1:30" ht="12.75">
      <c r="A7" s="354" t="s">
        <v>398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  <c r="L7" s="235" t="s">
        <v>399</v>
      </c>
      <c r="M7" s="236"/>
      <c r="N7" s="236"/>
      <c r="O7" s="236"/>
      <c r="P7" s="236"/>
      <c r="Q7" s="236"/>
      <c r="R7" s="236"/>
      <c r="S7" s="236"/>
      <c r="T7" s="236"/>
      <c r="U7" s="236"/>
      <c r="V7" s="237"/>
      <c r="W7" s="232" t="s">
        <v>400</v>
      </c>
      <c r="X7" s="233"/>
      <c r="Y7" s="233"/>
      <c r="Z7" s="233"/>
      <c r="AA7" s="233"/>
      <c r="AB7" s="233"/>
      <c r="AC7" s="233"/>
      <c r="AD7" s="234"/>
    </row>
    <row r="8" spans="1:30" ht="168" customHeight="1">
      <c r="A8" s="238" t="s">
        <v>401</v>
      </c>
      <c r="B8" s="239" t="s">
        <v>427</v>
      </c>
      <c r="C8" s="240" t="s">
        <v>423</v>
      </c>
      <c r="D8" s="240" t="s">
        <v>426</v>
      </c>
      <c r="E8" s="240" t="s">
        <v>402</v>
      </c>
      <c r="F8" s="240" t="s">
        <v>428</v>
      </c>
      <c r="G8" s="240" t="s">
        <v>424</v>
      </c>
      <c r="H8" s="240" t="s">
        <v>429</v>
      </c>
      <c r="I8" s="240" t="s">
        <v>430</v>
      </c>
      <c r="J8" s="240" t="s">
        <v>425</v>
      </c>
      <c r="K8" s="241" t="s">
        <v>403</v>
      </c>
      <c r="L8" s="242" t="s">
        <v>404</v>
      </c>
      <c r="M8" s="240" t="s">
        <v>405</v>
      </c>
      <c r="N8" s="240" t="s">
        <v>406</v>
      </c>
      <c r="O8" s="240" t="s">
        <v>407</v>
      </c>
      <c r="P8" s="240" t="s">
        <v>408</v>
      </c>
      <c r="Q8" s="240" t="s">
        <v>409</v>
      </c>
      <c r="R8" s="240" t="s">
        <v>431</v>
      </c>
      <c r="S8" s="240" t="s">
        <v>410</v>
      </c>
      <c r="T8" s="240" t="s">
        <v>411</v>
      </c>
      <c r="U8" s="240" t="s">
        <v>412</v>
      </c>
      <c r="V8" s="241" t="s">
        <v>413</v>
      </c>
      <c r="W8" s="243" t="s">
        <v>414</v>
      </c>
      <c r="X8" s="242" t="s">
        <v>415</v>
      </c>
      <c r="Y8" s="242" t="s">
        <v>416</v>
      </c>
      <c r="Z8" s="242" t="s">
        <v>417</v>
      </c>
      <c r="AA8" s="240" t="s">
        <v>418</v>
      </c>
      <c r="AB8" s="241" t="s">
        <v>419</v>
      </c>
      <c r="AC8" s="244" t="s">
        <v>420</v>
      </c>
      <c r="AD8" s="245" t="s">
        <v>421</v>
      </c>
    </row>
    <row r="9" spans="1:30" ht="12" customHeight="1">
      <c r="A9" s="246">
        <v>2007</v>
      </c>
      <c r="B9" s="247">
        <v>25500</v>
      </c>
      <c r="C9" s="247">
        <v>173473</v>
      </c>
      <c r="D9" s="247">
        <v>33077</v>
      </c>
      <c r="E9" s="247">
        <v>260251</v>
      </c>
      <c r="F9" s="247">
        <v>305832</v>
      </c>
      <c r="G9" s="247">
        <v>32003</v>
      </c>
      <c r="H9" s="247">
        <v>57580</v>
      </c>
      <c r="I9" s="247">
        <v>4847</v>
      </c>
      <c r="J9" s="247">
        <v>11987</v>
      </c>
      <c r="K9" s="248">
        <f aca="true" t="shared" si="0" ref="K9:K28">SUM(B9:J9)</f>
        <v>904550</v>
      </c>
      <c r="L9" s="247">
        <v>225276</v>
      </c>
      <c r="M9" s="247">
        <v>145604</v>
      </c>
      <c r="N9" s="247"/>
      <c r="O9" s="247"/>
      <c r="P9" s="247"/>
      <c r="Q9" s="247">
        <v>289192</v>
      </c>
      <c r="R9" s="247">
        <v>39125</v>
      </c>
      <c r="S9" s="247">
        <v>118362</v>
      </c>
      <c r="T9" s="247">
        <v>174969</v>
      </c>
      <c r="U9" s="247">
        <v>41171</v>
      </c>
      <c r="V9" s="248">
        <f aca="true" t="shared" si="1" ref="V9:V28">SUM(L9:U9)</f>
        <v>1033699</v>
      </c>
      <c r="W9" s="246">
        <v>2007</v>
      </c>
      <c r="X9" s="247">
        <v>70280</v>
      </c>
      <c r="Y9" s="247">
        <v>17834.4</v>
      </c>
      <c r="Z9" s="247">
        <v>0</v>
      </c>
      <c r="AA9" s="247">
        <v>480842</v>
      </c>
      <c r="AB9" s="248">
        <f aca="true" t="shared" si="2" ref="AB9:AB16">SUM(X9:AA9)</f>
        <v>568956.4</v>
      </c>
      <c r="AC9" s="248">
        <f aca="true" t="shared" si="3" ref="AC9:AC28">SUM(AB9+V9+K9)</f>
        <v>2507205.4</v>
      </c>
      <c r="AD9" s="249">
        <f>AC9/27437814*100</f>
        <v>9.137773876592355</v>
      </c>
    </row>
    <row r="10" spans="1:30" ht="12.75">
      <c r="A10" s="250">
        <v>2008</v>
      </c>
      <c r="B10" s="251"/>
      <c r="C10" s="251">
        <v>285850</v>
      </c>
      <c r="D10" s="251">
        <v>60340</v>
      </c>
      <c r="E10" s="251">
        <v>494221</v>
      </c>
      <c r="F10" s="251">
        <v>397466</v>
      </c>
      <c r="G10" s="251">
        <v>30908</v>
      </c>
      <c r="H10" s="251">
        <v>57580</v>
      </c>
      <c r="I10" s="251">
        <v>4847</v>
      </c>
      <c r="J10" s="251">
        <v>11987</v>
      </c>
      <c r="K10" s="252">
        <f t="shared" si="0"/>
        <v>1343199</v>
      </c>
      <c r="L10" s="251">
        <v>221860</v>
      </c>
      <c r="M10" s="251">
        <v>142168</v>
      </c>
      <c r="N10" s="251"/>
      <c r="O10" s="251">
        <v>179</v>
      </c>
      <c r="P10" s="251"/>
      <c r="Q10" s="251">
        <v>277958</v>
      </c>
      <c r="R10" s="251">
        <v>39125</v>
      </c>
      <c r="S10" s="251">
        <v>106385</v>
      </c>
      <c r="T10" s="251"/>
      <c r="U10" s="251">
        <v>37468</v>
      </c>
      <c r="V10" s="253">
        <f t="shared" si="1"/>
        <v>825143</v>
      </c>
      <c r="W10" s="250">
        <v>2008</v>
      </c>
      <c r="X10" s="251">
        <f>1502586-70280</f>
        <v>1432306</v>
      </c>
      <c r="Y10" s="251">
        <v>17834.4</v>
      </c>
      <c r="Z10" s="251">
        <v>39703.73</v>
      </c>
      <c r="AA10" s="251">
        <v>443424</v>
      </c>
      <c r="AB10" s="252">
        <f t="shared" si="2"/>
        <v>1933268.13</v>
      </c>
      <c r="AC10" s="254">
        <f t="shared" si="3"/>
        <v>4101610.13</v>
      </c>
      <c r="AD10" s="249">
        <f>AC10/27437814*100</f>
        <v>14.948749670801034</v>
      </c>
    </row>
    <row r="11" spans="1:30" ht="12.75">
      <c r="A11" s="250">
        <v>2009</v>
      </c>
      <c r="B11" s="251"/>
      <c r="C11" s="251">
        <v>224946</v>
      </c>
      <c r="D11" s="251">
        <v>66769</v>
      </c>
      <c r="E11" s="251">
        <v>470043</v>
      </c>
      <c r="F11" s="251">
        <v>385218</v>
      </c>
      <c r="G11" s="251">
        <v>29817</v>
      </c>
      <c r="H11" s="251">
        <v>57580</v>
      </c>
      <c r="I11" s="251">
        <v>4847</v>
      </c>
      <c r="J11" s="251">
        <v>11987</v>
      </c>
      <c r="K11" s="255">
        <f t="shared" si="0"/>
        <v>1251207</v>
      </c>
      <c r="L11" s="251">
        <v>218444</v>
      </c>
      <c r="M11" s="251">
        <v>138732</v>
      </c>
      <c r="N11" s="251"/>
      <c r="O11" s="251">
        <v>172</v>
      </c>
      <c r="P11" s="251"/>
      <c r="Q11" s="251">
        <v>266724</v>
      </c>
      <c r="R11" s="251">
        <v>82647</v>
      </c>
      <c r="S11" s="251">
        <v>102694</v>
      </c>
      <c r="T11" s="251"/>
      <c r="U11" s="251">
        <v>36146</v>
      </c>
      <c r="V11" s="248">
        <f t="shared" si="1"/>
        <v>845559</v>
      </c>
      <c r="W11" s="250">
        <v>2009</v>
      </c>
      <c r="X11" s="251">
        <v>376700</v>
      </c>
      <c r="Y11" s="251">
        <v>17834.4</v>
      </c>
      <c r="Z11" s="251">
        <v>39703.73</v>
      </c>
      <c r="AA11" s="251">
        <v>428745</v>
      </c>
      <c r="AB11" s="255">
        <f t="shared" si="2"/>
        <v>862983.13</v>
      </c>
      <c r="AC11" s="256">
        <f t="shared" si="3"/>
        <v>2959749.13</v>
      </c>
      <c r="AD11" s="249">
        <f aca="true" t="shared" si="4" ref="AD11:AD28">AC11/27437814*100</f>
        <v>10.787117115087957</v>
      </c>
    </row>
    <row r="12" spans="1:30" ht="12.75">
      <c r="A12" s="250">
        <v>2010</v>
      </c>
      <c r="B12" s="251"/>
      <c r="C12" s="251"/>
      <c r="D12" s="251"/>
      <c r="E12" s="251">
        <v>570696</v>
      </c>
      <c r="F12" s="251">
        <v>372971</v>
      </c>
      <c r="G12" s="251"/>
      <c r="H12" s="251">
        <v>151013</v>
      </c>
      <c r="I12" s="251">
        <v>24047</v>
      </c>
      <c r="J12" s="251">
        <v>58787</v>
      </c>
      <c r="K12" s="255">
        <f t="shared" si="0"/>
        <v>1177514</v>
      </c>
      <c r="L12" s="251">
        <v>215028</v>
      </c>
      <c r="M12" s="251">
        <v>135296</v>
      </c>
      <c r="N12" s="251"/>
      <c r="O12" s="251">
        <v>166</v>
      </c>
      <c r="P12" s="251"/>
      <c r="Q12" s="251">
        <v>255490</v>
      </c>
      <c r="R12" s="251">
        <v>80345</v>
      </c>
      <c r="S12" s="251">
        <v>99002</v>
      </c>
      <c r="T12" s="251"/>
      <c r="U12" s="251">
        <v>34823</v>
      </c>
      <c r="V12" s="248">
        <f t="shared" si="1"/>
        <v>820150</v>
      </c>
      <c r="W12" s="250">
        <v>2010</v>
      </c>
      <c r="X12" s="251"/>
      <c r="Y12" s="251">
        <v>17834.4</v>
      </c>
      <c r="Z12" s="251">
        <v>39703.73</v>
      </c>
      <c r="AA12" s="251">
        <v>414066</v>
      </c>
      <c r="AB12" s="255">
        <f t="shared" si="2"/>
        <v>471604.13</v>
      </c>
      <c r="AC12" s="256">
        <f t="shared" si="3"/>
        <v>2469268.13</v>
      </c>
      <c r="AD12" s="249">
        <f t="shared" si="4"/>
        <v>8.99950750449726</v>
      </c>
    </row>
    <row r="13" spans="1:30" ht="12.75">
      <c r="A13" s="250">
        <v>2011</v>
      </c>
      <c r="B13" s="251"/>
      <c r="C13" s="251"/>
      <c r="D13" s="251"/>
      <c r="E13" s="251">
        <v>538108</v>
      </c>
      <c r="F13" s="251">
        <v>360723</v>
      </c>
      <c r="G13" s="251"/>
      <c r="H13" s="251">
        <v>147391</v>
      </c>
      <c r="I13" s="251">
        <v>23317</v>
      </c>
      <c r="J13" s="251">
        <v>57009</v>
      </c>
      <c r="K13" s="255">
        <f t="shared" si="0"/>
        <v>1126548</v>
      </c>
      <c r="L13" s="251">
        <v>290473</v>
      </c>
      <c r="M13" s="251">
        <v>66789</v>
      </c>
      <c r="N13" s="251">
        <v>405</v>
      </c>
      <c r="O13" s="251">
        <v>160</v>
      </c>
      <c r="P13" s="251">
        <v>390</v>
      </c>
      <c r="Q13" s="251">
        <v>244256</v>
      </c>
      <c r="R13" s="251">
        <v>78044</v>
      </c>
      <c r="S13" s="251">
        <v>95311</v>
      </c>
      <c r="T13" s="251"/>
      <c r="U13" s="251">
        <v>33501</v>
      </c>
      <c r="V13" s="248">
        <f t="shared" si="1"/>
        <v>809329</v>
      </c>
      <c r="W13" s="250">
        <v>2011</v>
      </c>
      <c r="X13" s="251"/>
      <c r="Y13" s="251">
        <v>16348.2</v>
      </c>
      <c r="Z13" s="251">
        <v>39703.73</v>
      </c>
      <c r="AA13" s="251">
        <v>399388</v>
      </c>
      <c r="AB13" s="255">
        <f t="shared" si="2"/>
        <v>455439.93</v>
      </c>
      <c r="AC13" s="256">
        <f t="shared" si="3"/>
        <v>2391316.9299999997</v>
      </c>
      <c r="AD13" s="249">
        <f t="shared" si="4"/>
        <v>8.715406154440727</v>
      </c>
    </row>
    <row r="14" spans="1:30" ht="12.75">
      <c r="A14" s="250">
        <v>2012</v>
      </c>
      <c r="B14" s="251"/>
      <c r="C14" s="251"/>
      <c r="D14" s="251"/>
      <c r="E14" s="251">
        <v>337354</v>
      </c>
      <c r="F14" s="251">
        <v>348475</v>
      </c>
      <c r="G14" s="251"/>
      <c r="H14" s="251">
        <v>143769</v>
      </c>
      <c r="I14" s="251">
        <v>22588</v>
      </c>
      <c r="J14" s="251">
        <v>55230</v>
      </c>
      <c r="K14" s="255">
        <f t="shared" si="0"/>
        <v>907416</v>
      </c>
      <c r="L14" s="251">
        <v>282503</v>
      </c>
      <c r="M14" s="251"/>
      <c r="N14" s="251">
        <v>392</v>
      </c>
      <c r="O14" s="251">
        <v>154</v>
      </c>
      <c r="P14" s="251">
        <v>377</v>
      </c>
      <c r="Q14" s="251">
        <v>369401</v>
      </c>
      <c r="R14" s="251">
        <v>75742</v>
      </c>
      <c r="S14" s="251">
        <v>46214</v>
      </c>
      <c r="T14" s="251"/>
      <c r="U14" s="251">
        <v>16310</v>
      </c>
      <c r="V14" s="248">
        <f t="shared" si="1"/>
        <v>791093</v>
      </c>
      <c r="W14" s="250">
        <v>2012</v>
      </c>
      <c r="X14" s="251"/>
      <c r="Y14" s="251"/>
      <c r="Z14" s="251">
        <v>39703.73</v>
      </c>
      <c r="AA14" s="251">
        <v>384709</v>
      </c>
      <c r="AB14" s="255">
        <f t="shared" si="2"/>
        <v>424412.73</v>
      </c>
      <c r="AC14" s="256">
        <f t="shared" si="3"/>
        <v>2122921.73</v>
      </c>
      <c r="AD14" s="249">
        <f t="shared" si="4"/>
        <v>7.737211608767375</v>
      </c>
    </row>
    <row r="15" spans="1:30" ht="12.75">
      <c r="A15" s="250">
        <v>2013</v>
      </c>
      <c r="B15" s="251"/>
      <c r="C15" s="251"/>
      <c r="D15" s="251"/>
      <c r="E15" s="251"/>
      <c r="F15" s="251">
        <v>433916</v>
      </c>
      <c r="G15" s="251"/>
      <c r="H15" s="251">
        <v>140148</v>
      </c>
      <c r="I15" s="251">
        <v>21858</v>
      </c>
      <c r="J15" s="251">
        <v>53452</v>
      </c>
      <c r="K15" s="255">
        <f t="shared" si="0"/>
        <v>649374</v>
      </c>
      <c r="L15" s="251">
        <v>274532</v>
      </c>
      <c r="M15" s="251"/>
      <c r="N15" s="251">
        <v>378</v>
      </c>
      <c r="O15" s="251">
        <v>148</v>
      </c>
      <c r="P15" s="251">
        <v>364</v>
      </c>
      <c r="Q15" s="251">
        <v>349480</v>
      </c>
      <c r="R15" s="251">
        <v>73441</v>
      </c>
      <c r="S15" s="251"/>
      <c r="T15" s="251"/>
      <c r="U15" s="251"/>
      <c r="V15" s="248">
        <f t="shared" si="1"/>
        <v>698343</v>
      </c>
      <c r="W15" s="250">
        <v>2013</v>
      </c>
      <c r="X15" s="251"/>
      <c r="Y15" s="251"/>
      <c r="Z15" s="251"/>
      <c r="AA15" s="251">
        <v>360143</v>
      </c>
      <c r="AB15" s="255">
        <f t="shared" si="2"/>
        <v>360143</v>
      </c>
      <c r="AC15" s="256">
        <f t="shared" si="3"/>
        <v>1707860</v>
      </c>
      <c r="AD15" s="249">
        <f t="shared" si="4"/>
        <v>6.224475462950511</v>
      </c>
    </row>
    <row r="16" spans="1:30" ht="12.75">
      <c r="A16" s="250">
        <v>2014</v>
      </c>
      <c r="B16" s="251"/>
      <c r="C16" s="251"/>
      <c r="D16" s="251"/>
      <c r="E16" s="251"/>
      <c r="F16" s="251">
        <v>610922</v>
      </c>
      <c r="G16" s="251"/>
      <c r="H16" s="251">
        <v>136526</v>
      </c>
      <c r="I16" s="251">
        <v>21129</v>
      </c>
      <c r="J16" s="251">
        <v>51674</v>
      </c>
      <c r="K16" s="255">
        <f t="shared" si="0"/>
        <v>820251</v>
      </c>
      <c r="L16" s="251">
        <v>266562</v>
      </c>
      <c r="M16" s="251"/>
      <c r="N16" s="251">
        <v>365</v>
      </c>
      <c r="O16" s="251">
        <v>142</v>
      </c>
      <c r="P16" s="251">
        <v>351</v>
      </c>
      <c r="Q16" s="251"/>
      <c r="R16" s="251">
        <v>71140</v>
      </c>
      <c r="S16" s="251"/>
      <c r="T16" s="251"/>
      <c r="U16" s="251"/>
      <c r="V16" s="248">
        <f t="shared" si="1"/>
        <v>338560</v>
      </c>
      <c r="W16" s="250">
        <v>2014</v>
      </c>
      <c r="X16" s="251"/>
      <c r="Y16" s="251"/>
      <c r="Z16" s="251"/>
      <c r="AA16" s="251">
        <v>101098</v>
      </c>
      <c r="AB16" s="255">
        <f t="shared" si="2"/>
        <v>101098</v>
      </c>
      <c r="AC16" s="256">
        <f t="shared" si="3"/>
        <v>1259909</v>
      </c>
      <c r="AD16" s="249">
        <f t="shared" si="4"/>
        <v>4.591870912165233</v>
      </c>
    </row>
    <row r="17" spans="1:30" ht="12.75">
      <c r="A17" s="250">
        <v>2015</v>
      </c>
      <c r="B17" s="251"/>
      <c r="C17" s="251"/>
      <c r="D17" s="251"/>
      <c r="E17" s="251"/>
      <c r="F17" s="251">
        <v>580303</v>
      </c>
      <c r="G17" s="251"/>
      <c r="H17" s="251">
        <v>132904</v>
      </c>
      <c r="I17" s="251">
        <v>20399</v>
      </c>
      <c r="J17" s="251">
        <v>49895</v>
      </c>
      <c r="K17" s="255">
        <f t="shared" si="0"/>
        <v>783501</v>
      </c>
      <c r="L17" s="251">
        <v>258591</v>
      </c>
      <c r="M17" s="251"/>
      <c r="N17" s="251">
        <v>351</v>
      </c>
      <c r="O17" s="251">
        <v>136</v>
      </c>
      <c r="P17" s="251">
        <v>338</v>
      </c>
      <c r="Q17" s="251"/>
      <c r="R17" s="251">
        <v>68838</v>
      </c>
      <c r="S17" s="251"/>
      <c r="T17" s="251"/>
      <c r="U17" s="251"/>
      <c r="V17" s="248">
        <f t="shared" si="1"/>
        <v>328254</v>
      </c>
      <c r="W17" s="250">
        <v>2015</v>
      </c>
      <c r="X17" s="251"/>
      <c r="Y17" s="251"/>
      <c r="Z17" s="251"/>
      <c r="AA17" s="251"/>
      <c r="AB17" s="252"/>
      <c r="AC17" s="256">
        <f t="shared" si="3"/>
        <v>1111755</v>
      </c>
      <c r="AD17" s="249">
        <f t="shared" si="4"/>
        <v>4.051908071102166</v>
      </c>
    </row>
    <row r="18" spans="1:30" ht="12.75">
      <c r="A18" s="250">
        <v>2016</v>
      </c>
      <c r="B18" s="251"/>
      <c r="C18" s="251"/>
      <c r="D18" s="251"/>
      <c r="E18" s="251"/>
      <c r="F18" s="251">
        <v>549683</v>
      </c>
      <c r="G18" s="251"/>
      <c r="H18" s="251">
        <v>129283</v>
      </c>
      <c r="I18" s="251">
        <v>12821</v>
      </c>
      <c r="J18" s="251">
        <v>35967</v>
      </c>
      <c r="K18" s="255">
        <f t="shared" si="0"/>
        <v>727754</v>
      </c>
      <c r="L18" s="251">
        <v>329482</v>
      </c>
      <c r="M18" s="251"/>
      <c r="N18" s="251">
        <v>338</v>
      </c>
      <c r="O18" s="251">
        <v>130</v>
      </c>
      <c r="P18" s="251">
        <v>325</v>
      </c>
      <c r="Q18" s="251"/>
      <c r="R18" s="251">
        <v>66537</v>
      </c>
      <c r="S18" s="251"/>
      <c r="T18" s="251"/>
      <c r="U18" s="251"/>
      <c r="V18" s="248">
        <f t="shared" si="1"/>
        <v>396812</v>
      </c>
      <c r="W18" s="250">
        <v>2016</v>
      </c>
      <c r="X18" s="251"/>
      <c r="Y18" s="251"/>
      <c r="Z18" s="251"/>
      <c r="AA18" s="251"/>
      <c r="AB18" s="252"/>
      <c r="AC18" s="256">
        <f t="shared" si="3"/>
        <v>1124566</v>
      </c>
      <c r="AD18" s="249">
        <f t="shared" si="4"/>
        <v>4.0985991085149855</v>
      </c>
    </row>
    <row r="19" spans="1:30" ht="12.75">
      <c r="A19" s="250">
        <v>2017</v>
      </c>
      <c r="B19" s="257"/>
      <c r="C19" s="257"/>
      <c r="D19" s="257"/>
      <c r="E19" s="257"/>
      <c r="F19" s="251">
        <v>516753</v>
      </c>
      <c r="G19" s="251"/>
      <c r="H19" s="251">
        <v>125661</v>
      </c>
      <c r="I19" s="251"/>
      <c r="J19" s="251"/>
      <c r="K19" s="255">
        <f t="shared" si="0"/>
        <v>642414</v>
      </c>
      <c r="L19" s="251">
        <v>315367</v>
      </c>
      <c r="M19" s="251"/>
      <c r="N19" s="251">
        <v>324</v>
      </c>
      <c r="O19" s="251">
        <v>124</v>
      </c>
      <c r="P19" s="251">
        <v>312</v>
      </c>
      <c r="Q19" s="251"/>
      <c r="R19" s="251">
        <v>64235</v>
      </c>
      <c r="S19" s="251"/>
      <c r="T19" s="251"/>
      <c r="U19" s="251"/>
      <c r="V19" s="248">
        <f t="shared" si="1"/>
        <v>380362</v>
      </c>
      <c r="W19" s="250">
        <v>2017</v>
      </c>
      <c r="X19" s="251"/>
      <c r="Y19" s="251"/>
      <c r="Z19" s="251"/>
      <c r="AA19" s="251"/>
      <c r="AB19" s="252"/>
      <c r="AC19" s="256">
        <f t="shared" si="3"/>
        <v>1022776</v>
      </c>
      <c r="AD19" s="249">
        <f t="shared" si="4"/>
        <v>3.727614743652683</v>
      </c>
    </row>
    <row r="20" spans="1:30" ht="12.75">
      <c r="A20" s="250">
        <v>2018</v>
      </c>
      <c r="B20" s="251"/>
      <c r="C20" s="251"/>
      <c r="D20" s="251"/>
      <c r="E20" s="251"/>
      <c r="F20" s="251"/>
      <c r="G20" s="251"/>
      <c r="H20" s="251">
        <v>122040</v>
      </c>
      <c r="I20" s="251"/>
      <c r="J20" s="251"/>
      <c r="K20" s="255">
        <f t="shared" si="0"/>
        <v>122040</v>
      </c>
      <c r="L20" s="251">
        <v>304431</v>
      </c>
      <c r="M20" s="251"/>
      <c r="N20" s="251">
        <v>311</v>
      </c>
      <c r="O20" s="251"/>
      <c r="P20" s="251">
        <v>299</v>
      </c>
      <c r="Q20" s="251"/>
      <c r="R20" s="251">
        <v>61934</v>
      </c>
      <c r="S20" s="251"/>
      <c r="T20" s="251"/>
      <c r="U20" s="251"/>
      <c r="V20" s="248">
        <f t="shared" si="1"/>
        <v>366975</v>
      </c>
      <c r="W20" s="250">
        <v>2018</v>
      </c>
      <c r="X20" s="251"/>
      <c r="Y20" s="251"/>
      <c r="Z20" s="251"/>
      <c r="AA20" s="251"/>
      <c r="AB20" s="252"/>
      <c r="AC20" s="256">
        <f t="shared" si="3"/>
        <v>489015</v>
      </c>
      <c r="AD20" s="249">
        <f t="shared" si="4"/>
        <v>1.7822666193451124</v>
      </c>
    </row>
    <row r="21" spans="1:30" ht="12.75">
      <c r="A21" s="250">
        <v>2019</v>
      </c>
      <c r="B21" s="251"/>
      <c r="C21" s="251"/>
      <c r="D21" s="251"/>
      <c r="E21" s="251"/>
      <c r="F21" s="251"/>
      <c r="G21" s="251"/>
      <c r="H21" s="251">
        <v>118418</v>
      </c>
      <c r="I21" s="251"/>
      <c r="J21" s="251"/>
      <c r="K21" s="255">
        <f t="shared" si="0"/>
        <v>118418</v>
      </c>
      <c r="L21" s="251">
        <v>291906</v>
      </c>
      <c r="M21" s="251"/>
      <c r="N21" s="251">
        <v>397</v>
      </c>
      <c r="O21" s="251"/>
      <c r="P21" s="251">
        <v>286</v>
      </c>
      <c r="Q21" s="251"/>
      <c r="R21" s="251">
        <v>59632</v>
      </c>
      <c r="S21" s="251"/>
      <c r="T21" s="251"/>
      <c r="U21" s="251"/>
      <c r="V21" s="248">
        <f t="shared" si="1"/>
        <v>352221</v>
      </c>
      <c r="W21" s="250">
        <v>2019</v>
      </c>
      <c r="X21" s="251"/>
      <c r="Y21" s="251"/>
      <c r="Z21" s="251"/>
      <c r="AA21" s="251"/>
      <c r="AB21" s="252"/>
      <c r="AC21" s="256">
        <f t="shared" si="3"/>
        <v>470639</v>
      </c>
      <c r="AD21" s="249">
        <f t="shared" si="4"/>
        <v>1.7152933539093165</v>
      </c>
    </row>
    <row r="22" spans="1:30" ht="12.75">
      <c r="A22" s="250">
        <v>2020</v>
      </c>
      <c r="B22" s="251"/>
      <c r="C22" s="251"/>
      <c r="D22" s="251"/>
      <c r="E22" s="251"/>
      <c r="F22" s="251"/>
      <c r="G22" s="251"/>
      <c r="H22" s="251">
        <v>114796</v>
      </c>
      <c r="I22" s="251"/>
      <c r="J22" s="251"/>
      <c r="K22" s="255">
        <f t="shared" si="0"/>
        <v>114796</v>
      </c>
      <c r="L22" s="251">
        <v>279380</v>
      </c>
      <c r="M22" s="251"/>
      <c r="N22" s="251">
        <v>284</v>
      </c>
      <c r="O22" s="251"/>
      <c r="P22" s="251">
        <v>273</v>
      </c>
      <c r="Q22" s="251"/>
      <c r="R22" s="251">
        <v>57331</v>
      </c>
      <c r="S22" s="251"/>
      <c r="T22" s="251"/>
      <c r="U22" s="251"/>
      <c r="V22" s="248">
        <f t="shared" si="1"/>
        <v>337268</v>
      </c>
      <c r="W22" s="250">
        <v>2020</v>
      </c>
      <c r="X22" s="251"/>
      <c r="Y22" s="251"/>
      <c r="Z22" s="251"/>
      <c r="AA22" s="251"/>
      <c r="AB22" s="252"/>
      <c r="AC22" s="256">
        <f t="shared" si="3"/>
        <v>452064</v>
      </c>
      <c r="AD22" s="249">
        <f t="shared" si="4"/>
        <v>1.6475948120356818</v>
      </c>
    </row>
    <row r="23" spans="1:30" ht="12.75">
      <c r="A23" s="250">
        <v>2021</v>
      </c>
      <c r="B23" s="251"/>
      <c r="C23" s="251"/>
      <c r="D23" s="251"/>
      <c r="E23" s="251"/>
      <c r="F23" s="251"/>
      <c r="G23" s="251"/>
      <c r="H23" s="251">
        <v>111175</v>
      </c>
      <c r="I23" s="251"/>
      <c r="J23" s="251"/>
      <c r="K23" s="255">
        <f t="shared" si="0"/>
        <v>111175</v>
      </c>
      <c r="L23" s="251">
        <v>266855</v>
      </c>
      <c r="M23" s="251"/>
      <c r="N23" s="251"/>
      <c r="O23" s="251"/>
      <c r="P23" s="251"/>
      <c r="Q23" s="251"/>
      <c r="R23" s="251">
        <v>55029</v>
      </c>
      <c r="S23" s="251"/>
      <c r="T23" s="251"/>
      <c r="U23" s="251"/>
      <c r="V23" s="248">
        <f t="shared" si="1"/>
        <v>321884</v>
      </c>
      <c r="W23" s="250">
        <v>2021</v>
      </c>
      <c r="X23" s="251"/>
      <c r="Y23" s="251"/>
      <c r="Z23" s="251"/>
      <c r="AA23" s="251"/>
      <c r="AB23" s="252"/>
      <c r="AC23" s="256">
        <f t="shared" si="3"/>
        <v>433059</v>
      </c>
      <c r="AD23" s="249">
        <f t="shared" si="4"/>
        <v>1.578329089919481</v>
      </c>
    </row>
    <row r="24" spans="1:30" ht="12.75">
      <c r="A24" s="250">
        <v>2022</v>
      </c>
      <c r="B24" s="251"/>
      <c r="C24" s="251"/>
      <c r="D24" s="251"/>
      <c r="E24" s="251"/>
      <c r="F24" s="251"/>
      <c r="G24" s="251"/>
      <c r="H24" s="251">
        <v>107553</v>
      </c>
      <c r="I24" s="251"/>
      <c r="J24" s="251"/>
      <c r="K24" s="255">
        <f t="shared" si="0"/>
        <v>107553</v>
      </c>
      <c r="L24" s="251">
        <v>254330</v>
      </c>
      <c r="M24" s="251"/>
      <c r="N24" s="251"/>
      <c r="O24" s="251"/>
      <c r="P24" s="251"/>
      <c r="Q24" s="251"/>
      <c r="R24" s="251">
        <v>52728</v>
      </c>
      <c r="S24" s="251"/>
      <c r="T24" s="251"/>
      <c r="U24" s="251"/>
      <c r="V24" s="248">
        <f t="shared" si="1"/>
        <v>307058</v>
      </c>
      <c r="W24" s="250">
        <v>2022</v>
      </c>
      <c r="X24" s="251"/>
      <c r="Y24" s="251"/>
      <c r="Z24" s="251"/>
      <c r="AA24" s="251"/>
      <c r="AB24" s="252"/>
      <c r="AC24" s="256">
        <f t="shared" si="3"/>
        <v>414611</v>
      </c>
      <c r="AD24" s="249">
        <f t="shared" si="4"/>
        <v>1.5110934129081857</v>
      </c>
    </row>
    <row r="25" spans="1:30" ht="12.75">
      <c r="A25" s="250">
        <v>2023</v>
      </c>
      <c r="B25" s="251"/>
      <c r="C25" s="251"/>
      <c r="D25" s="251"/>
      <c r="E25" s="251"/>
      <c r="F25" s="251"/>
      <c r="G25" s="251"/>
      <c r="H25" s="251">
        <v>103932</v>
      </c>
      <c r="I25" s="251"/>
      <c r="J25" s="251"/>
      <c r="K25" s="255">
        <f t="shared" si="0"/>
        <v>103932</v>
      </c>
      <c r="L25" s="251">
        <v>241804</v>
      </c>
      <c r="M25" s="251"/>
      <c r="N25" s="251"/>
      <c r="O25" s="251"/>
      <c r="P25" s="251"/>
      <c r="Q25" s="251"/>
      <c r="R25" s="251">
        <v>50426</v>
      </c>
      <c r="S25" s="251"/>
      <c r="T25" s="251"/>
      <c r="U25" s="251"/>
      <c r="V25" s="248">
        <f t="shared" si="1"/>
        <v>292230</v>
      </c>
      <c r="W25" s="250">
        <v>2023</v>
      </c>
      <c r="X25" s="251"/>
      <c r="Y25" s="251"/>
      <c r="Z25" s="251"/>
      <c r="AA25" s="251"/>
      <c r="AB25" s="252"/>
      <c r="AC25" s="256">
        <f t="shared" si="3"/>
        <v>396162</v>
      </c>
      <c r="AD25" s="249">
        <f t="shared" si="4"/>
        <v>1.443854091291675</v>
      </c>
    </row>
    <row r="26" spans="1:30" ht="12.75">
      <c r="A26" s="250">
        <v>2024</v>
      </c>
      <c r="B26" s="251"/>
      <c r="C26" s="251"/>
      <c r="D26" s="251"/>
      <c r="E26" s="251"/>
      <c r="F26" s="251"/>
      <c r="G26" s="251"/>
      <c r="H26" s="251">
        <v>100310</v>
      </c>
      <c r="I26" s="251"/>
      <c r="J26" s="251"/>
      <c r="K26" s="255">
        <f t="shared" si="0"/>
        <v>100310</v>
      </c>
      <c r="L26" s="251">
        <v>227291</v>
      </c>
      <c r="M26" s="257"/>
      <c r="N26" s="257"/>
      <c r="O26" s="257"/>
      <c r="P26" s="257"/>
      <c r="Q26" s="257"/>
      <c r="R26" s="251">
        <v>48125</v>
      </c>
      <c r="S26" s="257"/>
      <c r="T26" s="257"/>
      <c r="U26" s="251"/>
      <c r="V26" s="248">
        <f t="shared" si="1"/>
        <v>275416</v>
      </c>
      <c r="W26" s="250">
        <v>2024</v>
      </c>
      <c r="X26" s="251"/>
      <c r="Y26" s="251"/>
      <c r="Z26" s="251"/>
      <c r="AA26" s="251"/>
      <c r="AB26" s="252"/>
      <c r="AC26" s="256">
        <f t="shared" si="3"/>
        <v>375726</v>
      </c>
      <c r="AD26" s="249">
        <f t="shared" si="4"/>
        <v>1.3693729391124236</v>
      </c>
    </row>
    <row r="27" spans="1:30" ht="12.75">
      <c r="A27" s="246">
        <v>2025</v>
      </c>
      <c r="B27" s="247"/>
      <c r="C27" s="247"/>
      <c r="D27" s="247"/>
      <c r="E27" s="247"/>
      <c r="F27" s="247"/>
      <c r="G27" s="247"/>
      <c r="H27" s="247">
        <v>96688</v>
      </c>
      <c r="I27" s="258"/>
      <c r="J27" s="258"/>
      <c r="K27" s="255">
        <f t="shared" si="0"/>
        <v>96688</v>
      </c>
      <c r="L27" s="247"/>
      <c r="M27" s="259"/>
      <c r="N27" s="259"/>
      <c r="O27" s="259"/>
      <c r="P27" s="259"/>
      <c r="Q27" s="259"/>
      <c r="R27" s="247">
        <v>45829</v>
      </c>
      <c r="S27" s="259"/>
      <c r="T27" s="259"/>
      <c r="U27" s="247"/>
      <c r="V27" s="248">
        <f t="shared" si="1"/>
        <v>45829</v>
      </c>
      <c r="W27" s="250">
        <v>2025</v>
      </c>
      <c r="X27" s="247"/>
      <c r="Y27" s="247"/>
      <c r="Z27" s="247"/>
      <c r="AA27" s="247"/>
      <c r="AB27" s="248"/>
      <c r="AC27" s="256">
        <f t="shared" si="3"/>
        <v>142517</v>
      </c>
      <c r="AD27" s="249">
        <f t="shared" si="4"/>
        <v>0.5194182014645919</v>
      </c>
    </row>
    <row r="28" spans="1:30" ht="12.75">
      <c r="A28" s="246">
        <v>2026</v>
      </c>
      <c r="B28" s="247"/>
      <c r="C28" s="247"/>
      <c r="D28" s="247"/>
      <c r="E28" s="247"/>
      <c r="F28" s="247"/>
      <c r="G28" s="247"/>
      <c r="H28" s="247">
        <v>11360</v>
      </c>
      <c r="I28" s="258"/>
      <c r="J28" s="258"/>
      <c r="K28" s="255">
        <f t="shared" si="0"/>
        <v>11360</v>
      </c>
      <c r="L28" s="247"/>
      <c r="M28" s="259"/>
      <c r="N28" s="259"/>
      <c r="O28" s="259"/>
      <c r="P28" s="259"/>
      <c r="Q28" s="259"/>
      <c r="R28" s="259"/>
      <c r="S28" s="259"/>
      <c r="T28" s="259"/>
      <c r="U28" s="247"/>
      <c r="V28" s="248">
        <f t="shared" si="1"/>
        <v>0</v>
      </c>
      <c r="W28" s="246">
        <v>2026</v>
      </c>
      <c r="X28" s="247"/>
      <c r="Y28" s="247"/>
      <c r="Z28" s="247"/>
      <c r="AA28" s="247"/>
      <c r="AB28" s="248"/>
      <c r="AC28" s="256">
        <f t="shared" si="3"/>
        <v>11360</v>
      </c>
      <c r="AD28" s="249">
        <f t="shared" si="4"/>
        <v>0.041402715245463795</v>
      </c>
    </row>
    <row r="31" ht="12.75">
      <c r="A31" s="1" t="s">
        <v>422</v>
      </c>
    </row>
    <row r="32" spans="24:33" ht="12.75">
      <c r="X32" s="1" t="s">
        <v>203</v>
      </c>
      <c r="AG32" s="1" t="s">
        <v>204</v>
      </c>
    </row>
  </sheetData>
  <mergeCells count="2">
    <mergeCell ref="A7:K7"/>
    <mergeCell ref="D5:L5"/>
  </mergeCells>
  <printOptions/>
  <pageMargins left="0.21" right="0.17" top="0.25" bottom="0.28" header="0.17" footer="0.21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3.00390625" style="1" customWidth="1"/>
    <col min="2" max="2" width="11.140625" style="1" customWidth="1"/>
    <col min="3" max="3" width="44.57421875" style="1" customWidth="1"/>
    <col min="4" max="4" width="11.8515625" style="1" hidden="1" customWidth="1"/>
    <col min="5" max="7" width="10.8515625" style="1" customWidth="1"/>
    <col min="8" max="16384" width="9.140625" style="1" customWidth="1"/>
  </cols>
  <sheetData>
    <row r="1" spans="5:7" s="26" customFormat="1" ht="11.25">
      <c r="E1" s="20"/>
      <c r="F1" s="20" t="s">
        <v>219</v>
      </c>
      <c r="G1" s="20"/>
    </row>
    <row r="2" s="26" customFormat="1" ht="11.25">
      <c r="F2" s="26" t="s">
        <v>439</v>
      </c>
    </row>
    <row r="3" s="26" customFormat="1" ht="11.25">
      <c r="F3" s="26" t="s">
        <v>494</v>
      </c>
    </row>
    <row r="4" s="26" customFormat="1" ht="11.25">
      <c r="F4" s="26" t="s">
        <v>495</v>
      </c>
    </row>
    <row r="6" spans="2:6" s="5" customFormat="1" ht="30.75" customHeight="1">
      <c r="B6" s="293" t="s">
        <v>462</v>
      </c>
      <c r="C6" s="293"/>
      <c r="D6" s="293"/>
      <c r="E6" s="293"/>
      <c r="F6" s="293"/>
    </row>
    <row r="7" spans="2:5" ht="10.5" customHeight="1">
      <c r="B7" s="357"/>
      <c r="C7" s="357"/>
      <c r="D7" s="357"/>
      <c r="E7" s="357"/>
    </row>
    <row r="8" spans="2:7" s="17" customFormat="1" ht="48.75" customHeight="1">
      <c r="B8" s="7" t="s">
        <v>1</v>
      </c>
      <c r="C8" s="7" t="s">
        <v>2</v>
      </c>
      <c r="D8" s="274"/>
      <c r="E8" s="275" t="s">
        <v>455</v>
      </c>
      <c r="F8" s="275" t="s">
        <v>440</v>
      </c>
      <c r="G8" s="275" t="s">
        <v>456</v>
      </c>
    </row>
    <row r="9" spans="2:3" ht="12.75">
      <c r="B9" s="115"/>
      <c r="C9" s="115"/>
    </row>
    <row r="10" spans="2:7" ht="12.75">
      <c r="B10" s="116"/>
      <c r="C10" s="116" t="s">
        <v>220</v>
      </c>
      <c r="E10" s="117">
        <f>SUM(E12:E15)</f>
        <v>2279904</v>
      </c>
      <c r="F10" s="117">
        <f>SUM(F12:F15)</f>
        <v>0</v>
      </c>
      <c r="G10" s="117">
        <f>SUM(G12:G15)</f>
        <v>2279904</v>
      </c>
    </row>
    <row r="11" spans="2:7" s="6" customFormat="1" ht="12">
      <c r="B11" s="47"/>
      <c r="C11" s="195" t="s">
        <v>452</v>
      </c>
      <c r="E11" s="118"/>
      <c r="F11" s="118"/>
      <c r="G11" s="118"/>
    </row>
    <row r="12" spans="2:7" s="26" customFormat="1" ht="11.25">
      <c r="B12" s="42"/>
      <c r="C12" s="42" t="s">
        <v>221</v>
      </c>
      <c r="E12" s="119">
        <f>135976+340</f>
        <v>136316</v>
      </c>
      <c r="F12" s="119"/>
      <c r="G12" s="119">
        <f>SUM(E12:F12)</f>
        <v>136316</v>
      </c>
    </row>
    <row r="13" spans="2:7" s="26" customFormat="1" ht="11.25">
      <c r="B13" s="42"/>
      <c r="C13" s="42" t="s">
        <v>222</v>
      </c>
      <c r="E13" s="119">
        <v>20000</v>
      </c>
      <c r="F13" s="119"/>
      <c r="G13" s="119">
        <f>SUM(E13:F13)</f>
        <v>20000</v>
      </c>
    </row>
    <row r="14" spans="2:7" s="26" customFormat="1" ht="11.25">
      <c r="B14" s="42"/>
      <c r="C14" s="42" t="s">
        <v>223</v>
      </c>
      <c r="E14" s="119">
        <v>1992695</v>
      </c>
      <c r="F14" s="119"/>
      <c r="G14" s="119">
        <f>SUM(E14:F14)</f>
        <v>1992695</v>
      </c>
    </row>
    <row r="15" spans="2:7" s="26" customFormat="1" ht="11.25">
      <c r="B15" s="42"/>
      <c r="C15" s="42" t="s">
        <v>224</v>
      </c>
      <c r="E15" s="119">
        <v>130893</v>
      </c>
      <c r="F15" s="119"/>
      <c r="G15" s="119">
        <f>SUM(E15:F15)</f>
        <v>130893</v>
      </c>
    </row>
    <row r="16" spans="2:7" ht="12" customHeight="1">
      <c r="B16" s="120"/>
      <c r="C16" s="120"/>
      <c r="E16" s="115"/>
      <c r="F16" s="115"/>
      <c r="G16" s="115"/>
    </row>
    <row r="17" spans="2:7" ht="14.25" customHeight="1">
      <c r="B17" s="116"/>
      <c r="C17" s="116" t="s">
        <v>225</v>
      </c>
      <c r="E17" s="117">
        <f>SUM(E19:E23)</f>
        <v>2650526</v>
      </c>
      <c r="F17" s="117">
        <f>SUM(F19:F23)</f>
        <v>0</v>
      </c>
      <c r="G17" s="117">
        <f>SUM(G19:G23)</f>
        <v>2650526</v>
      </c>
    </row>
    <row r="18" spans="2:7" s="6" customFormat="1" ht="14.25" customHeight="1">
      <c r="B18" s="47"/>
      <c r="C18" s="195" t="s">
        <v>453</v>
      </c>
      <c r="E18" s="118"/>
      <c r="F18" s="118"/>
      <c r="G18" s="118"/>
    </row>
    <row r="19" spans="2:7" s="26" customFormat="1" ht="12" customHeight="1">
      <c r="B19" s="42"/>
      <c r="C19" s="42" t="s">
        <v>221</v>
      </c>
      <c r="E19" s="119">
        <f>351369+136316</f>
        <v>487685</v>
      </c>
      <c r="F19" s="119"/>
      <c r="G19" s="119">
        <f>SUM(E19:F19)</f>
        <v>487685</v>
      </c>
    </row>
    <row r="20" spans="2:7" s="26" customFormat="1" ht="12" customHeight="1">
      <c r="B20" s="42"/>
      <c r="C20" s="42" t="s">
        <v>222</v>
      </c>
      <c r="E20" s="119">
        <v>36748</v>
      </c>
      <c r="F20" s="119"/>
      <c r="G20" s="119">
        <f>SUM(E20:F20)</f>
        <v>36748</v>
      </c>
    </row>
    <row r="21" spans="2:7" s="26" customFormat="1" ht="12" customHeight="1">
      <c r="B21" s="42"/>
      <c r="C21" s="42" t="s">
        <v>223</v>
      </c>
      <c r="E21" s="29">
        <v>1992695</v>
      </c>
      <c r="F21" s="29"/>
      <c r="G21" s="119">
        <f>SUM(E21:F21)</f>
        <v>1992695</v>
      </c>
    </row>
    <row r="22" spans="2:7" s="26" customFormat="1" ht="12.75" customHeight="1">
      <c r="B22" s="42"/>
      <c r="C22" s="42" t="s">
        <v>224</v>
      </c>
      <c r="E22" s="29">
        <v>130893</v>
      </c>
      <c r="F22" s="29"/>
      <c r="G22" s="119">
        <f>SUM(E22:F22)</f>
        <v>130893</v>
      </c>
    </row>
    <row r="23" spans="2:7" s="26" customFormat="1" ht="12.75" customHeight="1">
      <c r="B23" s="42"/>
      <c r="C23" s="42" t="s">
        <v>226</v>
      </c>
      <c r="E23" s="29">
        <v>2505</v>
      </c>
      <c r="F23" s="29"/>
      <c r="G23" s="119">
        <f>SUM(E23:F23)</f>
        <v>2505</v>
      </c>
    </row>
    <row r="24" spans="2:3" ht="12.75">
      <c r="B24" s="115"/>
      <c r="C24" s="115"/>
    </row>
    <row r="25" spans="2:7" ht="12.75">
      <c r="B25" s="116"/>
      <c r="C25" s="116" t="s">
        <v>227</v>
      </c>
      <c r="E25" s="121">
        <f>SUM(E26+E27+E28+E29+E30+E31+E32+E33)</f>
        <v>2650526</v>
      </c>
      <c r="F25" s="121">
        <f>SUM(F26+F27+F28+F29+F30+F31+F32+F33)</f>
        <v>0</v>
      </c>
      <c r="G25" s="121">
        <f>SUM(G26+G27+G28+G29+G30+G31+G32+G33)</f>
        <v>2650526</v>
      </c>
    </row>
    <row r="26" spans="2:7" s="26" customFormat="1" ht="11.25">
      <c r="B26" s="122" t="s">
        <v>228</v>
      </c>
      <c r="C26" s="26" t="s">
        <v>121</v>
      </c>
      <c r="E26" s="30">
        <f>28731+48400</f>
        <v>77131</v>
      </c>
      <c r="F26" s="30"/>
      <c r="G26" s="30">
        <f>SUM(E26:F26)</f>
        <v>77131</v>
      </c>
    </row>
    <row r="27" spans="2:7" s="26" customFormat="1" ht="11.25">
      <c r="B27" s="122" t="s">
        <v>123</v>
      </c>
      <c r="C27" s="26" t="s">
        <v>106</v>
      </c>
      <c r="E27" s="30">
        <v>49235</v>
      </c>
      <c r="F27" s="30">
        <v>-5637</v>
      </c>
      <c r="G27" s="30">
        <f aca="true" t="shared" si="0" ref="G27:G33">SUM(E27:F27)</f>
        <v>43598</v>
      </c>
    </row>
    <row r="28" spans="2:7" s="26" customFormat="1" ht="11.25">
      <c r="B28" s="27" t="s">
        <v>22</v>
      </c>
      <c r="C28" s="26" t="s">
        <v>134</v>
      </c>
      <c r="E28" s="30">
        <f>9200+1992695+130893</f>
        <v>2132788</v>
      </c>
      <c r="F28" s="30"/>
      <c r="G28" s="30">
        <f t="shared" si="0"/>
        <v>2132788</v>
      </c>
    </row>
    <row r="29" spans="2:7" s="26" customFormat="1" ht="11.25">
      <c r="B29" s="27" t="s">
        <v>40</v>
      </c>
      <c r="C29" s="26" t="s">
        <v>142</v>
      </c>
      <c r="E29" s="30">
        <f>36748+2505</f>
        <v>39253</v>
      </c>
      <c r="F29" s="30"/>
      <c r="G29" s="30">
        <f t="shared" si="0"/>
        <v>39253</v>
      </c>
    </row>
    <row r="30" spans="2:7" s="26" customFormat="1" ht="11.25">
      <c r="B30" s="27" t="s">
        <v>60</v>
      </c>
      <c r="C30" s="26" t="s">
        <v>229</v>
      </c>
      <c r="E30" s="30">
        <v>14900</v>
      </c>
      <c r="F30" s="30"/>
      <c r="G30" s="30">
        <f t="shared" si="0"/>
        <v>14900</v>
      </c>
    </row>
    <row r="31" spans="2:7" s="26" customFormat="1" ht="11.25">
      <c r="B31" s="27" t="s">
        <v>69</v>
      </c>
      <c r="C31" s="26" t="s">
        <v>196</v>
      </c>
      <c r="E31" s="30">
        <v>323969</v>
      </c>
      <c r="F31" s="30">
        <v>3637</v>
      </c>
      <c r="G31" s="30">
        <f t="shared" si="0"/>
        <v>327606</v>
      </c>
    </row>
    <row r="32" spans="2:7" s="26" customFormat="1" ht="11.25">
      <c r="B32" s="122" t="s">
        <v>93</v>
      </c>
      <c r="C32" s="26" t="s">
        <v>23</v>
      </c>
      <c r="E32" s="30">
        <v>2600</v>
      </c>
      <c r="F32" s="30">
        <v>2000</v>
      </c>
      <c r="G32" s="30">
        <f t="shared" si="0"/>
        <v>4600</v>
      </c>
    </row>
    <row r="33" spans="2:7" s="26" customFormat="1" ht="11.25">
      <c r="B33" s="122" t="s">
        <v>160</v>
      </c>
      <c r="C33" s="26" t="s">
        <v>230</v>
      </c>
      <c r="E33" s="30">
        <f>650+10000</f>
        <v>10650</v>
      </c>
      <c r="F33" s="30"/>
      <c r="G33" s="30">
        <f t="shared" si="0"/>
        <v>10650</v>
      </c>
    </row>
    <row r="34" ht="12.75">
      <c r="B34" s="101"/>
    </row>
    <row r="35" spans="3:7" s="123" customFormat="1" ht="12.75">
      <c r="C35" s="124" t="s">
        <v>454</v>
      </c>
      <c r="D35" s="124"/>
      <c r="E35" s="125">
        <f>E10-E17</f>
        <v>-370622</v>
      </c>
      <c r="F35" s="125">
        <f>F10-F17</f>
        <v>0</v>
      </c>
      <c r="G35" s="125">
        <f>G10-G17</f>
        <v>-370622</v>
      </c>
    </row>
    <row r="36" spans="3:7" ht="12.75">
      <c r="C36" s="91" t="s">
        <v>231</v>
      </c>
      <c r="E36" s="121">
        <f>E38-E39</f>
        <v>370622</v>
      </c>
      <c r="F36" s="121">
        <f>F38-F39</f>
        <v>0</v>
      </c>
      <c r="G36" s="121">
        <f>G38-G39</f>
        <v>370622</v>
      </c>
    </row>
    <row r="37" spans="3:7" s="26" customFormat="1" ht="11.25">
      <c r="C37" s="26" t="s">
        <v>232</v>
      </c>
      <c r="E37" s="30">
        <f>E38-E39</f>
        <v>370622</v>
      </c>
      <c r="F37" s="30">
        <f>F38-F39</f>
        <v>0</v>
      </c>
      <c r="G37" s="30">
        <f>G38-G39</f>
        <v>370622</v>
      </c>
    </row>
    <row r="38" spans="3:7" s="26" customFormat="1" ht="11.25">
      <c r="C38" s="77" t="s">
        <v>233</v>
      </c>
      <c r="E38" s="126">
        <v>370622</v>
      </c>
      <c r="F38" s="126"/>
      <c r="G38" s="126">
        <f>SUM(E38:F38)</f>
        <v>370622</v>
      </c>
    </row>
    <row r="39" spans="3:7" s="26" customFormat="1" ht="11.25">
      <c r="C39" s="77" t="s">
        <v>234</v>
      </c>
      <c r="E39" s="77">
        <v>0</v>
      </c>
      <c r="F39" s="77"/>
      <c r="G39" s="77"/>
    </row>
    <row r="43" spans="2:6" ht="12.75">
      <c r="B43" s="1" t="s">
        <v>203</v>
      </c>
      <c r="F43" s="1" t="s">
        <v>204</v>
      </c>
    </row>
  </sheetData>
  <mergeCells count="2">
    <mergeCell ref="B7:E7"/>
    <mergeCell ref="B6:F6"/>
  </mergeCells>
  <printOptions/>
  <pageMargins left="0.55" right="0.16" top="0.36" bottom="0.38" header="0.19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03"/>
  <sheetViews>
    <sheetView workbookViewId="0" topLeftCell="A28">
      <selection activeCell="G56" sqref="G56"/>
    </sheetView>
  </sheetViews>
  <sheetFormatPr defaultColWidth="9.140625" defaultRowHeight="12.75"/>
  <cols>
    <col min="1" max="1" width="3.140625" style="1" customWidth="1"/>
    <col min="2" max="2" width="11.421875" style="127" customWidth="1"/>
    <col min="3" max="3" width="5.140625" style="1" customWidth="1"/>
    <col min="4" max="6" width="9.140625" style="1" customWidth="1"/>
    <col min="7" max="7" width="18.140625" style="1" customWidth="1"/>
    <col min="8" max="10" width="11.140625" style="130" customWidth="1"/>
    <col min="11" max="16384" width="9.140625" style="1" customWidth="1"/>
  </cols>
  <sheetData>
    <row r="1" spans="8:10" ht="12.75">
      <c r="H1" s="2"/>
      <c r="I1" s="2" t="s">
        <v>235</v>
      </c>
      <c r="J1" s="2"/>
    </row>
    <row r="2" spans="2:10" s="26" customFormat="1" ht="11.25">
      <c r="B2" s="128"/>
      <c r="H2" s="3"/>
      <c r="I2" s="3" t="s">
        <v>439</v>
      </c>
      <c r="J2" s="3"/>
    </row>
    <row r="3" spans="2:10" s="26" customFormat="1" ht="11.25">
      <c r="B3" s="128"/>
      <c r="H3" s="3"/>
      <c r="I3" s="3" t="s">
        <v>494</v>
      </c>
      <c r="J3" s="3"/>
    </row>
    <row r="4" spans="2:10" s="26" customFormat="1" ht="11.25">
      <c r="B4" s="128"/>
      <c r="H4" s="3"/>
      <c r="I4" s="3" t="s">
        <v>495</v>
      </c>
      <c r="J4" s="3"/>
    </row>
    <row r="5" spans="2:10" s="26" customFormat="1" ht="11.25">
      <c r="B5" s="128"/>
      <c r="H5" s="129"/>
      <c r="I5" s="129"/>
      <c r="J5" s="129"/>
    </row>
    <row r="6" spans="2:8" s="5" customFormat="1" ht="38.25" customHeight="1">
      <c r="B6" s="293" t="s">
        <v>236</v>
      </c>
      <c r="C6" s="293"/>
      <c r="D6" s="293"/>
      <c r="E6" s="293"/>
      <c r="F6" s="293"/>
      <c r="G6" s="293"/>
      <c r="H6" s="293"/>
    </row>
    <row r="7" ht="25.5" customHeight="1"/>
    <row r="8" spans="2:10" s="9" customFormat="1" ht="51" customHeight="1">
      <c r="B8" s="7" t="s">
        <v>1</v>
      </c>
      <c r="C8" s="327" t="s">
        <v>2</v>
      </c>
      <c r="D8" s="327"/>
      <c r="E8" s="327"/>
      <c r="F8" s="327"/>
      <c r="G8" s="327"/>
      <c r="H8" s="8" t="s">
        <v>476</v>
      </c>
      <c r="I8" s="8" t="s">
        <v>440</v>
      </c>
      <c r="J8" s="8" t="s">
        <v>477</v>
      </c>
    </row>
    <row r="10" spans="3:10" ht="14.25">
      <c r="C10" s="358" t="s">
        <v>221</v>
      </c>
      <c r="D10" s="358"/>
      <c r="E10" s="358"/>
      <c r="F10" s="358"/>
      <c r="G10" s="358"/>
      <c r="H10" s="132"/>
      <c r="I10" s="132"/>
      <c r="J10" s="132"/>
    </row>
    <row r="11" spans="2:10" s="26" customFormat="1" ht="11.25">
      <c r="B11" s="128"/>
      <c r="H11" s="129"/>
      <c r="I11" s="129"/>
      <c r="J11" s="129"/>
    </row>
    <row r="12" spans="2:10" s="26" customFormat="1" ht="11.25">
      <c r="B12" s="128"/>
      <c r="C12" s="359" t="s">
        <v>177</v>
      </c>
      <c r="D12" s="359"/>
      <c r="E12" s="359"/>
      <c r="F12" s="359"/>
      <c r="G12" s="359"/>
      <c r="H12" s="23">
        <f>H13+H16+H17+H18</f>
        <v>487685</v>
      </c>
      <c r="I12" s="23">
        <f>I13+I16+I17+I18</f>
        <v>0</v>
      </c>
      <c r="J12" s="23">
        <f>J13+J16+J17+J18</f>
        <v>487685</v>
      </c>
    </row>
    <row r="13" spans="2:10" s="26" customFormat="1" ht="11.25">
      <c r="B13" s="128"/>
      <c r="C13" s="321" t="s">
        <v>237</v>
      </c>
      <c r="D13" s="321"/>
      <c r="E13" s="321"/>
      <c r="F13" s="321"/>
      <c r="G13" s="321"/>
      <c r="H13" s="25">
        <f>H14+H15</f>
        <v>351369</v>
      </c>
      <c r="I13" s="25">
        <f>I14+I15</f>
        <v>0</v>
      </c>
      <c r="J13" s="25">
        <f>J14+J15</f>
        <v>351369</v>
      </c>
    </row>
    <row r="14" spans="2:10" s="26" customFormat="1" ht="11.25">
      <c r="B14" s="128"/>
      <c r="C14" s="28"/>
      <c r="D14" s="297" t="s">
        <v>238</v>
      </c>
      <c r="E14" s="297"/>
      <c r="F14" s="297"/>
      <c r="G14" s="297"/>
      <c r="H14" s="134">
        <f>H32+H40</f>
        <v>332078</v>
      </c>
      <c r="I14" s="134"/>
      <c r="J14" s="134">
        <f>SUM(H14:I14)</f>
        <v>332078</v>
      </c>
    </row>
    <row r="15" spans="2:10" s="26" customFormat="1" ht="11.25">
      <c r="B15" s="128"/>
      <c r="C15" s="28"/>
      <c r="D15" s="297" t="s">
        <v>239</v>
      </c>
      <c r="E15" s="297"/>
      <c r="F15" s="297"/>
      <c r="G15" s="297"/>
      <c r="H15" s="134">
        <f>H25</f>
        <v>19291</v>
      </c>
      <c r="I15" s="134"/>
      <c r="J15" s="134">
        <f>SUM(H15:I15)</f>
        <v>19291</v>
      </c>
    </row>
    <row r="16" spans="2:10" s="26" customFormat="1" ht="10.5" customHeight="1">
      <c r="B16" s="128"/>
      <c r="C16" s="321" t="s">
        <v>240</v>
      </c>
      <c r="D16" s="321"/>
      <c r="E16" s="321"/>
      <c r="F16" s="321"/>
      <c r="G16" s="321"/>
      <c r="H16" s="25">
        <f>SUM(H33+H41)</f>
        <v>135976</v>
      </c>
      <c r="I16" s="25"/>
      <c r="J16" s="25">
        <f>SUM(H16:I16)</f>
        <v>135976</v>
      </c>
    </row>
    <row r="17" spans="2:10" s="26" customFormat="1" ht="11.25" hidden="1">
      <c r="B17" s="128"/>
      <c r="C17" s="28" t="s">
        <v>241</v>
      </c>
      <c r="D17" s="28"/>
      <c r="E17" s="28"/>
      <c r="F17" s="28"/>
      <c r="G17" s="28"/>
      <c r="H17" s="25"/>
      <c r="I17" s="25"/>
      <c r="J17" s="25">
        <f>SUM(H17:I17)</f>
        <v>0</v>
      </c>
    </row>
    <row r="18" spans="2:10" s="26" customFormat="1" ht="11.25">
      <c r="B18" s="128"/>
      <c r="C18" s="321" t="s">
        <v>242</v>
      </c>
      <c r="D18" s="321"/>
      <c r="E18" s="321"/>
      <c r="F18" s="321"/>
      <c r="G18" s="321"/>
      <c r="H18" s="25">
        <f>H26</f>
        <v>340</v>
      </c>
      <c r="I18" s="25"/>
      <c r="J18" s="25">
        <f>SUM(H18:I18)</f>
        <v>340</v>
      </c>
    </row>
    <row r="19" spans="2:10" s="26" customFormat="1" ht="11.25">
      <c r="B19" s="128"/>
      <c r="C19" s="359" t="s">
        <v>243</v>
      </c>
      <c r="D19" s="359"/>
      <c r="E19" s="359"/>
      <c r="F19" s="359"/>
      <c r="G19" s="359"/>
      <c r="H19" s="23">
        <f>SUM(H20)</f>
        <v>487685</v>
      </c>
      <c r="I19" s="23">
        <f>SUM(I20)</f>
        <v>0</v>
      </c>
      <c r="J19" s="23">
        <f>SUM(J20)</f>
        <v>487685</v>
      </c>
    </row>
    <row r="20" spans="2:10" s="26" customFormat="1" ht="11.25">
      <c r="B20" s="128"/>
      <c r="C20" s="321" t="s">
        <v>9</v>
      </c>
      <c r="D20" s="321"/>
      <c r="E20" s="321"/>
      <c r="F20" s="321"/>
      <c r="G20" s="321"/>
      <c r="H20" s="25">
        <f>H28+H35+H43</f>
        <v>487685</v>
      </c>
      <c r="I20" s="25"/>
      <c r="J20" s="25">
        <f>SUM(H20:I20)</f>
        <v>487685</v>
      </c>
    </row>
    <row r="21" spans="2:10" s="26" customFormat="1" ht="11.25">
      <c r="B21" s="128"/>
      <c r="C21" s="28"/>
      <c r="D21" s="76" t="s">
        <v>244</v>
      </c>
      <c r="E21" s="28"/>
      <c r="F21" s="28"/>
      <c r="G21" s="28"/>
      <c r="H21" s="41">
        <f>SUM(H36)</f>
        <v>2482</v>
      </c>
      <c r="I21" s="41"/>
      <c r="J21" s="41">
        <f>SUM(H21:I21)</f>
        <v>2482</v>
      </c>
    </row>
    <row r="22" spans="2:10" s="26" customFormat="1" ht="11.25">
      <c r="B22" s="128"/>
      <c r="H22" s="25"/>
      <c r="I22" s="25"/>
      <c r="J22" s="25"/>
    </row>
    <row r="23" spans="2:10" s="6" customFormat="1" ht="12">
      <c r="B23" s="79" t="s">
        <v>245</v>
      </c>
      <c r="C23" s="340" t="s">
        <v>246</v>
      </c>
      <c r="D23" s="340"/>
      <c r="E23" s="340"/>
      <c r="F23" s="340"/>
      <c r="G23" s="340"/>
      <c r="H23" s="53"/>
      <c r="I23" s="53"/>
      <c r="J23" s="53"/>
    </row>
    <row r="24" spans="2:10" s="26" customFormat="1" ht="11.25">
      <c r="B24" s="128"/>
      <c r="C24" s="359" t="s">
        <v>177</v>
      </c>
      <c r="D24" s="359"/>
      <c r="E24" s="359"/>
      <c r="F24" s="359"/>
      <c r="G24" s="359"/>
      <c r="H24" s="23">
        <f>H26+H25</f>
        <v>19631</v>
      </c>
      <c r="I24" s="23">
        <f>I26+I25</f>
        <v>0</v>
      </c>
      <c r="J24" s="23">
        <f>J26+J25</f>
        <v>19631</v>
      </c>
    </row>
    <row r="25" spans="2:10" s="26" customFormat="1" ht="12.75">
      <c r="B25" s="128"/>
      <c r="C25" s="321" t="s">
        <v>247</v>
      </c>
      <c r="D25" s="360"/>
      <c r="E25" s="360"/>
      <c r="F25" s="360"/>
      <c r="G25" s="360"/>
      <c r="H25" s="25">
        <v>19291</v>
      </c>
      <c r="I25" s="25"/>
      <c r="J25" s="25">
        <f>SUM(H25:I25)</f>
        <v>19291</v>
      </c>
    </row>
    <row r="26" spans="2:10" s="26" customFormat="1" ht="11.25">
      <c r="B26" s="128"/>
      <c r="C26" s="321" t="s">
        <v>242</v>
      </c>
      <c r="D26" s="321"/>
      <c r="E26" s="321"/>
      <c r="F26" s="321"/>
      <c r="G26" s="321"/>
      <c r="H26" s="25">
        <v>340</v>
      </c>
      <c r="I26" s="25"/>
      <c r="J26" s="25">
        <f>SUM(H26:I26)</f>
        <v>340</v>
      </c>
    </row>
    <row r="27" spans="2:10" s="26" customFormat="1" ht="11.25">
      <c r="B27" s="128"/>
      <c r="C27" s="359" t="s">
        <v>243</v>
      </c>
      <c r="D27" s="359"/>
      <c r="E27" s="359"/>
      <c r="F27" s="359"/>
      <c r="G27" s="359"/>
      <c r="H27" s="23">
        <f>H28</f>
        <v>19631</v>
      </c>
      <c r="I27" s="23">
        <f>I28</f>
        <v>0</v>
      </c>
      <c r="J27" s="23">
        <f>J28</f>
        <v>19631</v>
      </c>
    </row>
    <row r="28" spans="2:10" s="26" customFormat="1" ht="11.25">
      <c r="B28" s="128"/>
      <c r="C28" s="321" t="s">
        <v>9</v>
      </c>
      <c r="D28" s="321"/>
      <c r="E28" s="321"/>
      <c r="F28" s="321"/>
      <c r="G28" s="321"/>
      <c r="H28" s="25">
        <v>19631</v>
      </c>
      <c r="I28" s="25"/>
      <c r="J28" s="25">
        <f>SUM(H28:I28)</f>
        <v>19631</v>
      </c>
    </row>
    <row r="29" spans="8:10" ht="12.75">
      <c r="H29" s="4"/>
      <c r="I29" s="4"/>
      <c r="J29" s="4"/>
    </row>
    <row r="30" spans="2:10" s="6" customFormat="1" ht="12">
      <c r="B30" s="79" t="s">
        <v>245</v>
      </c>
      <c r="C30" s="340" t="s">
        <v>248</v>
      </c>
      <c r="D30" s="340"/>
      <c r="E30" s="340"/>
      <c r="F30" s="340"/>
      <c r="G30" s="340"/>
      <c r="H30" s="53"/>
      <c r="I30" s="53"/>
      <c r="J30" s="53"/>
    </row>
    <row r="31" spans="2:10" s="26" customFormat="1" ht="11.25">
      <c r="B31" s="128"/>
      <c r="C31" s="359" t="s">
        <v>177</v>
      </c>
      <c r="D31" s="359"/>
      <c r="E31" s="359"/>
      <c r="F31" s="359"/>
      <c r="G31" s="359"/>
      <c r="H31" s="23">
        <f>H32+H33</f>
        <v>9100</v>
      </c>
      <c r="I31" s="23">
        <f>I32+I33</f>
        <v>0</v>
      </c>
      <c r="J31" s="23">
        <f>J32+J33</f>
        <v>9100</v>
      </c>
    </row>
    <row r="32" spans="2:10" s="26" customFormat="1" ht="12.75">
      <c r="B32" s="128"/>
      <c r="C32" s="321" t="s">
        <v>247</v>
      </c>
      <c r="D32" s="360"/>
      <c r="E32" s="360"/>
      <c r="F32" s="360"/>
      <c r="G32" s="360"/>
      <c r="H32" s="25">
        <v>3124</v>
      </c>
      <c r="I32" s="25"/>
      <c r="J32" s="25">
        <f>SUM(H32:I32)</f>
        <v>3124</v>
      </c>
    </row>
    <row r="33" spans="2:10" s="26" customFormat="1" ht="11.25">
      <c r="B33" s="128"/>
      <c r="C33" s="321" t="s">
        <v>240</v>
      </c>
      <c r="D33" s="321"/>
      <c r="E33" s="321"/>
      <c r="F33" s="321"/>
      <c r="G33" s="321"/>
      <c r="H33" s="25">
        <v>5976</v>
      </c>
      <c r="I33" s="25"/>
      <c r="J33" s="25">
        <f>SUM(H33:I33)</f>
        <v>5976</v>
      </c>
    </row>
    <row r="34" spans="2:10" s="26" customFormat="1" ht="11.25">
      <c r="B34" s="128"/>
      <c r="C34" s="359" t="s">
        <v>243</v>
      </c>
      <c r="D34" s="359"/>
      <c r="E34" s="359"/>
      <c r="F34" s="359"/>
      <c r="G34" s="359"/>
      <c r="H34" s="23">
        <f>H35</f>
        <v>9100</v>
      </c>
      <c r="I34" s="23">
        <f>I35</f>
        <v>0</v>
      </c>
      <c r="J34" s="23">
        <f>J35</f>
        <v>9100</v>
      </c>
    </row>
    <row r="35" spans="2:10" s="26" customFormat="1" ht="11.25">
      <c r="B35" s="128"/>
      <c r="C35" s="321" t="s">
        <v>9</v>
      </c>
      <c r="D35" s="321"/>
      <c r="E35" s="321"/>
      <c r="F35" s="321"/>
      <c r="G35" s="321"/>
      <c r="H35" s="25">
        <v>9100</v>
      </c>
      <c r="I35" s="25"/>
      <c r="J35" s="25">
        <f>SUM(H35:I35)</f>
        <v>9100</v>
      </c>
    </row>
    <row r="36" spans="2:10" s="26" customFormat="1" ht="11.25">
      <c r="B36" s="128"/>
      <c r="C36" s="28"/>
      <c r="D36" s="76" t="s">
        <v>244</v>
      </c>
      <c r="E36" s="28"/>
      <c r="F36" s="28"/>
      <c r="G36" s="28"/>
      <c r="H36" s="41">
        <v>2482</v>
      </c>
      <c r="I36" s="41"/>
      <c r="J36" s="41">
        <f>SUM(H36:I36)</f>
        <v>2482</v>
      </c>
    </row>
    <row r="37" spans="8:10" ht="12.75">
      <c r="H37" s="4"/>
      <c r="I37" s="4"/>
      <c r="J37" s="4"/>
    </row>
    <row r="38" spans="2:10" s="135" customFormat="1" ht="29.25" customHeight="1">
      <c r="B38" s="136"/>
      <c r="C38" s="361" t="s">
        <v>249</v>
      </c>
      <c r="D38" s="362"/>
      <c r="E38" s="362"/>
      <c r="F38" s="362"/>
      <c r="G38" s="362"/>
      <c r="H38" s="137"/>
      <c r="I38" s="137"/>
      <c r="J38" s="137"/>
    </row>
    <row r="39" spans="2:10" s="26" customFormat="1" ht="11.25">
      <c r="B39" s="128"/>
      <c r="C39" s="359" t="s">
        <v>250</v>
      </c>
      <c r="D39" s="359"/>
      <c r="E39" s="359"/>
      <c r="F39" s="359"/>
      <c r="G39" s="359"/>
      <c r="H39" s="23">
        <f>H40+H41</f>
        <v>458954</v>
      </c>
      <c r="I39" s="23">
        <f>I40+I41</f>
        <v>0</v>
      </c>
      <c r="J39" s="23">
        <f>J40+J41</f>
        <v>458954</v>
      </c>
    </row>
    <row r="40" spans="2:10" s="26" customFormat="1" ht="12.75">
      <c r="B40" s="128"/>
      <c r="C40" s="321" t="s">
        <v>247</v>
      </c>
      <c r="D40" s="360"/>
      <c r="E40" s="360"/>
      <c r="F40" s="360"/>
      <c r="G40" s="360"/>
      <c r="H40" s="25">
        <v>328954</v>
      </c>
      <c r="I40" s="25"/>
      <c r="J40" s="25">
        <f>SUM(H40:I40)</f>
        <v>328954</v>
      </c>
    </row>
    <row r="41" spans="2:10" s="26" customFormat="1" ht="11.25">
      <c r="B41" s="128"/>
      <c r="C41" s="321" t="s">
        <v>240</v>
      </c>
      <c r="D41" s="321"/>
      <c r="E41" s="321"/>
      <c r="F41" s="321"/>
      <c r="G41" s="321"/>
      <c r="H41" s="25">
        <v>130000</v>
      </c>
      <c r="I41" s="25"/>
      <c r="J41" s="25">
        <f>SUM(H41:I41)</f>
        <v>130000</v>
      </c>
    </row>
    <row r="42" spans="2:10" s="26" customFormat="1" ht="11.25">
      <c r="B42" s="128"/>
      <c r="C42" s="359" t="s">
        <v>243</v>
      </c>
      <c r="D42" s="359"/>
      <c r="E42" s="359"/>
      <c r="F42" s="359"/>
      <c r="G42" s="359"/>
      <c r="H42" s="23">
        <f>SUM(H43:H43)</f>
        <v>458954</v>
      </c>
      <c r="I42" s="23">
        <f>SUM(I43:I43)</f>
        <v>0</v>
      </c>
      <c r="J42" s="23">
        <f>SUM(J43:J43)</f>
        <v>458954</v>
      </c>
    </row>
    <row r="43" spans="2:10" s="26" customFormat="1" ht="11.25">
      <c r="B43" s="128"/>
      <c r="C43" s="321" t="s">
        <v>9</v>
      </c>
      <c r="D43" s="321"/>
      <c r="E43" s="321"/>
      <c r="F43" s="321"/>
      <c r="G43" s="321"/>
      <c r="H43" s="25">
        <v>458954</v>
      </c>
      <c r="I43" s="25"/>
      <c r="J43" s="25">
        <f>SUM(H43:I43)</f>
        <v>458954</v>
      </c>
    </row>
    <row r="44" spans="2:10" s="26" customFormat="1" ht="11.25">
      <c r="B44" s="128"/>
      <c r="C44" s="28"/>
      <c r="D44" s="28"/>
      <c r="E44" s="28"/>
      <c r="F44" s="28"/>
      <c r="G44" s="28"/>
      <c r="H44" s="25"/>
      <c r="I44" s="25"/>
      <c r="J44" s="25"/>
    </row>
    <row r="46" spans="3:10" ht="14.25">
      <c r="C46" s="358" t="s">
        <v>223</v>
      </c>
      <c r="D46" s="358"/>
      <c r="E46" s="358"/>
      <c r="F46" s="358"/>
      <c r="G46" s="358"/>
      <c r="H46" s="132"/>
      <c r="I46" s="132"/>
      <c r="J46" s="132"/>
    </row>
    <row r="47" spans="2:10" s="26" customFormat="1" ht="11.25">
      <c r="B47" s="128"/>
      <c r="H47" s="129"/>
      <c r="I47" s="129"/>
      <c r="J47" s="129"/>
    </row>
    <row r="48" spans="2:10" s="17" customFormat="1" ht="12">
      <c r="B48" s="79" t="s">
        <v>136</v>
      </c>
      <c r="C48" s="340" t="s">
        <v>251</v>
      </c>
      <c r="D48" s="340"/>
      <c r="E48" s="340"/>
      <c r="F48" s="340"/>
      <c r="G48" s="340"/>
      <c r="H48" s="138"/>
      <c r="I48" s="138"/>
      <c r="J48" s="138"/>
    </row>
    <row r="49" spans="2:10" s="26" customFormat="1" ht="11.25">
      <c r="B49" s="128"/>
      <c r="C49" s="359" t="s">
        <v>177</v>
      </c>
      <c r="D49" s="359"/>
      <c r="E49" s="359"/>
      <c r="F49" s="359"/>
      <c r="G49" s="359"/>
      <c r="H49" s="23">
        <f>H50</f>
        <v>1992695</v>
      </c>
      <c r="I49" s="23">
        <f>I50</f>
        <v>0</v>
      </c>
      <c r="J49" s="23">
        <f>J50</f>
        <v>1992695</v>
      </c>
    </row>
    <row r="50" spans="2:10" s="26" customFormat="1" ht="11.25">
      <c r="B50" s="128"/>
      <c r="C50" s="321" t="s">
        <v>252</v>
      </c>
      <c r="D50" s="321"/>
      <c r="E50" s="321"/>
      <c r="F50" s="321"/>
      <c r="G50" s="321"/>
      <c r="H50" s="25">
        <v>1992695</v>
      </c>
      <c r="I50" s="25"/>
      <c r="J50" s="25">
        <f>SUM(H50:I50)</f>
        <v>1992695</v>
      </c>
    </row>
    <row r="51" spans="2:10" s="26" customFormat="1" ht="11.25">
      <c r="B51" s="128"/>
      <c r="C51" s="359" t="s">
        <v>243</v>
      </c>
      <c r="D51" s="359"/>
      <c r="E51" s="359"/>
      <c r="F51" s="359"/>
      <c r="G51" s="359"/>
      <c r="H51" s="23">
        <f>SUM(H52:H52)</f>
        <v>1992695</v>
      </c>
      <c r="I51" s="23">
        <f>SUM(I52:I52)</f>
        <v>0</v>
      </c>
      <c r="J51" s="23">
        <f>SUM(J52:J52)</f>
        <v>1992695</v>
      </c>
    </row>
    <row r="52" spans="2:10" s="26" customFormat="1" ht="11.25">
      <c r="B52" s="128"/>
      <c r="C52" s="321" t="s">
        <v>253</v>
      </c>
      <c r="D52" s="321"/>
      <c r="E52" s="321"/>
      <c r="F52" s="321"/>
      <c r="G52" s="321"/>
      <c r="H52" s="25">
        <v>1992695</v>
      </c>
      <c r="I52" s="25"/>
      <c r="J52" s="25">
        <f>SUM(H52:I52)</f>
        <v>1992695</v>
      </c>
    </row>
    <row r="54" spans="2:8" s="33" customFormat="1" ht="23.25" customHeight="1">
      <c r="B54" s="139"/>
      <c r="C54" s="302" t="s">
        <v>254</v>
      </c>
      <c r="D54" s="302"/>
      <c r="E54" s="302"/>
      <c r="F54" s="302"/>
      <c r="G54" s="302"/>
      <c r="H54" s="302"/>
    </row>
    <row r="55" spans="2:10" s="26" customFormat="1" ht="11.25">
      <c r="B55" s="128"/>
      <c r="C55" s="28"/>
      <c r="D55" s="28"/>
      <c r="E55" s="28"/>
      <c r="F55" s="28"/>
      <c r="G55" s="28"/>
      <c r="H55" s="129"/>
      <c r="I55" s="129"/>
      <c r="J55" s="129"/>
    </row>
    <row r="56" spans="2:10" s="26" customFormat="1" ht="11.25">
      <c r="B56" s="128"/>
      <c r="C56" s="28"/>
      <c r="D56" s="28"/>
      <c r="E56" s="28"/>
      <c r="F56" s="28"/>
      <c r="G56" s="28"/>
      <c r="H56" s="129"/>
      <c r="I56" s="129"/>
      <c r="J56" s="129"/>
    </row>
    <row r="57" spans="2:10" s="26" customFormat="1" ht="11.25">
      <c r="B57" s="128"/>
      <c r="C57" s="28"/>
      <c r="D57" s="28"/>
      <c r="E57" s="28"/>
      <c r="F57" s="28"/>
      <c r="G57" s="28"/>
      <c r="H57" s="129"/>
      <c r="I57" s="129"/>
      <c r="J57" s="129"/>
    </row>
    <row r="58" spans="2:10" s="26" customFormat="1" ht="11.25">
      <c r="B58" s="128"/>
      <c r="C58" s="28"/>
      <c r="D58" s="28"/>
      <c r="E58" s="28"/>
      <c r="F58" s="28"/>
      <c r="G58" s="28"/>
      <c r="H58" s="129"/>
      <c r="I58" s="129"/>
      <c r="J58" s="129"/>
    </row>
    <row r="59" spans="2:10" s="26" customFormat="1" ht="11.25">
      <c r="B59" s="128"/>
      <c r="C59" s="28"/>
      <c r="D59" s="28"/>
      <c r="E59" s="28"/>
      <c r="F59" s="28"/>
      <c r="G59" s="28"/>
      <c r="H59" s="129"/>
      <c r="I59" s="129"/>
      <c r="J59" s="129"/>
    </row>
    <row r="60" spans="2:10" s="26" customFormat="1" ht="11.25">
      <c r="B60" s="128"/>
      <c r="C60" s="28"/>
      <c r="D60" s="28"/>
      <c r="E60" s="28"/>
      <c r="F60" s="28"/>
      <c r="G60" s="28"/>
      <c r="H60" s="129"/>
      <c r="I60" s="129"/>
      <c r="J60" s="129"/>
    </row>
    <row r="61" spans="2:10" s="26" customFormat="1" ht="11.25">
      <c r="B61" s="128"/>
      <c r="C61" s="28"/>
      <c r="D61" s="28"/>
      <c r="E61" s="28"/>
      <c r="F61" s="28"/>
      <c r="G61" s="28"/>
      <c r="H61" s="129"/>
      <c r="I61" s="129"/>
      <c r="J61" s="129"/>
    </row>
    <row r="62" spans="2:10" s="33" customFormat="1" ht="47.25" customHeight="1">
      <c r="B62" s="272" t="s">
        <v>1</v>
      </c>
      <c r="C62" s="363" t="s">
        <v>2</v>
      </c>
      <c r="D62" s="363"/>
      <c r="E62" s="363"/>
      <c r="F62" s="363"/>
      <c r="G62" s="363"/>
      <c r="H62" s="273" t="s">
        <v>476</v>
      </c>
      <c r="I62" s="273" t="s">
        <v>440</v>
      </c>
      <c r="J62" s="273" t="s">
        <v>477</v>
      </c>
    </row>
    <row r="63" spans="2:10" s="26" customFormat="1" ht="11.25">
      <c r="B63" s="128"/>
      <c r="C63" s="28"/>
      <c r="D63" s="28"/>
      <c r="E63" s="28"/>
      <c r="F63" s="28"/>
      <c r="G63" s="28"/>
      <c r="H63" s="129"/>
      <c r="I63" s="129"/>
      <c r="J63" s="129"/>
    </row>
    <row r="64" spans="2:10" s="33" customFormat="1" ht="11.25">
      <c r="B64" s="140"/>
      <c r="C64" s="140"/>
      <c r="D64" s="140"/>
      <c r="E64" s="140"/>
      <c r="F64" s="140"/>
      <c r="G64" s="140"/>
      <c r="H64" s="58"/>
      <c r="I64" s="58"/>
      <c r="J64" s="58"/>
    </row>
    <row r="65" spans="3:10" ht="14.25">
      <c r="C65" s="358" t="s">
        <v>255</v>
      </c>
      <c r="D65" s="358"/>
      <c r="E65" s="358"/>
      <c r="F65" s="358"/>
      <c r="G65" s="358"/>
      <c r="H65" s="358"/>
      <c r="I65" s="1"/>
      <c r="J65" s="1"/>
    </row>
    <row r="66" spans="2:10" s="26" customFormat="1" ht="11.25">
      <c r="B66" s="128"/>
      <c r="H66" s="129"/>
      <c r="I66" s="129"/>
      <c r="J66" s="129"/>
    </row>
    <row r="67" spans="2:10" s="17" customFormat="1" ht="12">
      <c r="B67" s="79" t="s">
        <v>136</v>
      </c>
      <c r="C67" s="340" t="s">
        <v>256</v>
      </c>
      <c r="D67" s="340"/>
      <c r="E67" s="340"/>
      <c r="F67" s="340"/>
      <c r="G67" s="340"/>
      <c r="H67" s="138"/>
      <c r="I67" s="138"/>
      <c r="J67" s="138"/>
    </row>
    <row r="68" spans="2:10" s="26" customFormat="1" ht="11.25">
      <c r="B68" s="128"/>
      <c r="C68" s="359" t="s">
        <v>177</v>
      </c>
      <c r="D68" s="359"/>
      <c r="E68" s="359"/>
      <c r="F68" s="359"/>
      <c r="G68" s="359"/>
      <c r="H68" s="23">
        <f>H69</f>
        <v>130893</v>
      </c>
      <c r="I68" s="23">
        <f>I69</f>
        <v>0</v>
      </c>
      <c r="J68" s="23">
        <f>J69</f>
        <v>130893</v>
      </c>
    </row>
    <row r="69" spans="2:10" s="26" customFormat="1" ht="11.25">
      <c r="B69" s="128"/>
      <c r="C69" s="321" t="s">
        <v>255</v>
      </c>
      <c r="D69" s="321"/>
      <c r="E69" s="321"/>
      <c r="F69" s="321"/>
      <c r="G69" s="321"/>
      <c r="H69" s="25">
        <v>130893</v>
      </c>
      <c r="I69" s="25"/>
      <c r="J69" s="25">
        <f>SUM(H69:I69)</f>
        <v>130893</v>
      </c>
    </row>
    <row r="70" spans="2:10" s="26" customFormat="1" ht="11.25">
      <c r="B70" s="128"/>
      <c r="C70" s="359" t="s">
        <v>243</v>
      </c>
      <c r="D70" s="359"/>
      <c r="E70" s="359"/>
      <c r="F70" s="359"/>
      <c r="G70" s="359"/>
      <c r="H70" s="23">
        <f>H71</f>
        <v>130893</v>
      </c>
      <c r="I70" s="23">
        <f>I71</f>
        <v>0</v>
      </c>
      <c r="J70" s="23">
        <f>J71</f>
        <v>130893</v>
      </c>
    </row>
    <row r="71" spans="2:10" s="26" customFormat="1" ht="11.25">
      <c r="B71" s="128"/>
      <c r="C71" s="321" t="s">
        <v>9</v>
      </c>
      <c r="D71" s="321"/>
      <c r="E71" s="321"/>
      <c r="F71" s="321"/>
      <c r="G71" s="321"/>
      <c r="H71" s="25">
        <v>130893</v>
      </c>
      <c r="I71" s="25"/>
      <c r="J71" s="25">
        <f>SUM(H71:I71)</f>
        <v>130893</v>
      </c>
    </row>
    <row r="73" spans="2:8" s="33" customFormat="1" ht="23.25" customHeight="1">
      <c r="B73" s="139"/>
      <c r="C73" s="302"/>
      <c r="D73" s="302"/>
      <c r="E73" s="302"/>
      <c r="F73" s="302"/>
      <c r="G73" s="302"/>
      <c r="H73" s="302"/>
    </row>
    <row r="74" spans="2:10" s="33" customFormat="1" ht="4.5" customHeight="1" hidden="1">
      <c r="B74" s="139"/>
      <c r="C74" s="111"/>
      <c r="D74" s="111"/>
      <c r="E74" s="111"/>
      <c r="F74" s="111"/>
      <c r="G74" s="111"/>
      <c r="H74" s="111"/>
      <c r="I74" s="111"/>
      <c r="J74" s="111"/>
    </row>
    <row r="75" spans="2:10" s="33" customFormat="1" ht="24" customHeight="1" hidden="1">
      <c r="B75" s="139"/>
      <c r="C75" s="111"/>
      <c r="D75" s="111"/>
      <c r="E75" s="111"/>
      <c r="F75" s="111"/>
      <c r="G75" s="111"/>
      <c r="H75" s="111"/>
      <c r="I75" s="111"/>
      <c r="J75" s="111"/>
    </row>
    <row r="76" spans="2:10" s="33" customFormat="1" ht="24" customHeight="1" hidden="1">
      <c r="B76" s="139"/>
      <c r="C76" s="111"/>
      <c r="D76" s="111"/>
      <c r="E76" s="111"/>
      <c r="F76" s="111"/>
      <c r="G76" s="111"/>
      <c r="H76" s="111"/>
      <c r="I76" s="111"/>
      <c r="J76" s="111"/>
    </row>
    <row r="77" spans="2:10" s="33" customFormat="1" ht="24" customHeight="1" hidden="1">
      <c r="B77" s="139"/>
      <c r="C77" s="111"/>
      <c r="D77" s="111"/>
      <c r="E77" s="111"/>
      <c r="F77" s="111"/>
      <c r="G77" s="111"/>
      <c r="H77" s="111"/>
      <c r="I77" s="111"/>
      <c r="J77" s="111"/>
    </row>
    <row r="78" ht="9" customHeight="1" hidden="1"/>
    <row r="80" spans="2:8" s="26" customFormat="1" ht="13.5" customHeight="1">
      <c r="B80" s="128"/>
      <c r="C80" s="358" t="s">
        <v>257</v>
      </c>
      <c r="D80" s="358"/>
      <c r="E80" s="358"/>
      <c r="F80" s="358"/>
      <c r="G80" s="358"/>
      <c r="H80" s="358"/>
    </row>
    <row r="81" spans="2:10" s="26" customFormat="1" ht="12.75" customHeight="1">
      <c r="B81" s="128"/>
      <c r="C81" s="28"/>
      <c r="D81" s="28"/>
      <c r="E81" s="28"/>
      <c r="F81" s="28"/>
      <c r="G81" s="28"/>
      <c r="H81" s="129"/>
      <c r="I81" s="129"/>
      <c r="J81" s="129"/>
    </row>
    <row r="82" spans="2:8" s="46" customFormat="1" ht="24" customHeight="1">
      <c r="B82" s="268" t="s">
        <v>258</v>
      </c>
      <c r="C82" s="309" t="s">
        <v>438</v>
      </c>
      <c r="D82" s="309"/>
      <c r="E82" s="309"/>
      <c r="F82" s="309"/>
      <c r="G82" s="309"/>
      <c r="H82" s="309"/>
    </row>
    <row r="83" spans="2:10" s="26" customFormat="1" ht="11.25">
      <c r="B83" s="128"/>
      <c r="C83" s="359" t="s">
        <v>177</v>
      </c>
      <c r="D83" s="359"/>
      <c r="E83" s="359"/>
      <c r="F83" s="359"/>
      <c r="G83" s="359"/>
      <c r="H83" s="23">
        <f>H84</f>
        <v>2505</v>
      </c>
      <c r="I83" s="23">
        <f>I84</f>
        <v>0</v>
      </c>
      <c r="J83" s="23">
        <f>J84</f>
        <v>2505</v>
      </c>
    </row>
    <row r="84" spans="2:10" s="26" customFormat="1" ht="12.75">
      <c r="B84" s="128"/>
      <c r="C84" s="321" t="s">
        <v>247</v>
      </c>
      <c r="D84" s="360"/>
      <c r="E84" s="360"/>
      <c r="F84" s="360"/>
      <c r="G84" s="360"/>
      <c r="H84" s="25">
        <v>2505</v>
      </c>
      <c r="I84" s="25"/>
      <c r="J84" s="25">
        <f>SUM(H84:I84)</f>
        <v>2505</v>
      </c>
    </row>
    <row r="85" spans="2:10" s="26" customFormat="1" ht="11.25">
      <c r="B85" s="128"/>
      <c r="C85" s="359" t="s">
        <v>243</v>
      </c>
      <c r="D85" s="359"/>
      <c r="E85" s="359"/>
      <c r="F85" s="359"/>
      <c r="G85" s="359"/>
      <c r="H85" s="23">
        <f>H86</f>
        <v>2505</v>
      </c>
      <c r="I85" s="23">
        <f>I86</f>
        <v>0</v>
      </c>
      <c r="J85" s="23">
        <f>J86</f>
        <v>2505</v>
      </c>
    </row>
    <row r="86" spans="2:10" s="26" customFormat="1" ht="11.25">
      <c r="B86" s="128"/>
      <c r="C86" s="321" t="s">
        <v>9</v>
      </c>
      <c r="D86" s="321"/>
      <c r="E86" s="321"/>
      <c r="F86" s="321"/>
      <c r="G86" s="321"/>
      <c r="H86" s="25">
        <v>2505</v>
      </c>
      <c r="I86" s="25"/>
      <c r="J86" s="25">
        <f>SUM(H86:I86)</f>
        <v>2505</v>
      </c>
    </row>
    <row r="87" spans="2:10" s="26" customFormat="1" ht="11.25">
      <c r="B87" s="128"/>
      <c r="C87" s="28"/>
      <c r="D87" s="28"/>
      <c r="E87" s="28"/>
      <c r="F87" s="28"/>
      <c r="G87" s="28"/>
      <c r="H87" s="129"/>
      <c r="I87" s="129"/>
      <c r="J87" s="129"/>
    </row>
    <row r="88" spans="2:10" s="26" customFormat="1" ht="15" customHeight="1">
      <c r="B88" s="128"/>
      <c r="C88" s="28"/>
      <c r="D88" s="28"/>
      <c r="E88" s="28"/>
      <c r="F88" s="28"/>
      <c r="G88" s="28"/>
      <c r="H88" s="129"/>
      <c r="I88" s="129"/>
      <c r="J88" s="129"/>
    </row>
    <row r="89" spans="3:10" ht="14.25">
      <c r="C89" s="358" t="s">
        <v>222</v>
      </c>
      <c r="D89" s="358"/>
      <c r="E89" s="358"/>
      <c r="F89" s="358"/>
      <c r="G89" s="358"/>
      <c r="H89" s="132"/>
      <c r="I89" s="132"/>
      <c r="J89" s="132"/>
    </row>
    <row r="90" spans="2:10" s="26" customFormat="1" ht="11.25">
      <c r="B90" s="128"/>
      <c r="H90" s="129"/>
      <c r="I90" s="129"/>
      <c r="J90" s="129"/>
    </row>
    <row r="91" spans="2:10" s="6" customFormat="1" ht="12">
      <c r="B91" s="79" t="s">
        <v>259</v>
      </c>
      <c r="C91" s="340" t="s">
        <v>61</v>
      </c>
      <c r="D91" s="340"/>
      <c r="E91" s="340"/>
      <c r="F91" s="340"/>
      <c r="G91" s="340"/>
      <c r="H91" s="141"/>
      <c r="I91" s="141"/>
      <c r="J91" s="141"/>
    </row>
    <row r="92" spans="2:10" s="26" customFormat="1" ht="11.25">
      <c r="B92" s="128"/>
      <c r="C92" s="359" t="s">
        <v>177</v>
      </c>
      <c r="D92" s="359"/>
      <c r="E92" s="359"/>
      <c r="F92" s="359"/>
      <c r="G92" s="359"/>
      <c r="H92" s="23">
        <f>H93+H94</f>
        <v>36748</v>
      </c>
      <c r="I92" s="23">
        <f>I93+I94</f>
        <v>0</v>
      </c>
      <c r="J92" s="23">
        <f>J93+J94</f>
        <v>36748</v>
      </c>
    </row>
    <row r="93" spans="2:10" s="26" customFormat="1" ht="12.75">
      <c r="B93" s="128"/>
      <c r="C93" s="321" t="s">
        <v>247</v>
      </c>
      <c r="D93" s="360"/>
      <c r="E93" s="360"/>
      <c r="F93" s="360"/>
      <c r="G93" s="360"/>
      <c r="H93" s="25">
        <v>16748</v>
      </c>
      <c r="I93" s="25"/>
      <c r="J93" s="25">
        <f>SUM(H93:I93)</f>
        <v>16748</v>
      </c>
    </row>
    <row r="94" spans="2:10" s="26" customFormat="1" ht="11.25">
      <c r="B94" s="128"/>
      <c r="C94" s="321" t="s">
        <v>260</v>
      </c>
      <c r="D94" s="321"/>
      <c r="E94" s="321"/>
      <c r="F94" s="321"/>
      <c r="G94" s="321"/>
      <c r="H94" s="25">
        <v>20000</v>
      </c>
      <c r="I94" s="25"/>
      <c r="J94" s="25">
        <f>SUM(H94:I94)</f>
        <v>20000</v>
      </c>
    </row>
    <row r="95" spans="2:10" s="26" customFormat="1" ht="11.25">
      <c r="B95" s="128"/>
      <c r="C95" s="359" t="s">
        <v>243</v>
      </c>
      <c r="D95" s="359"/>
      <c r="E95" s="359"/>
      <c r="F95" s="359"/>
      <c r="G95" s="359"/>
      <c r="H95" s="23">
        <f>SUM(H96:H96)</f>
        <v>36748</v>
      </c>
      <c r="I95" s="23">
        <f>SUM(I96:I96)</f>
        <v>0</v>
      </c>
      <c r="J95" s="23">
        <f>SUM(J96:J96)</f>
        <v>36748</v>
      </c>
    </row>
    <row r="96" spans="2:10" s="26" customFormat="1" ht="11.25">
      <c r="B96" s="128"/>
      <c r="C96" s="321" t="s">
        <v>11</v>
      </c>
      <c r="D96" s="321"/>
      <c r="E96" s="321"/>
      <c r="F96" s="321"/>
      <c r="G96" s="321"/>
      <c r="H96" s="25">
        <v>36748</v>
      </c>
      <c r="I96" s="25"/>
      <c r="J96" s="25">
        <f>SUM(H96:I96)</f>
        <v>36748</v>
      </c>
    </row>
    <row r="97" spans="8:10" ht="12.75">
      <c r="H97" s="4"/>
      <c r="I97" s="4"/>
      <c r="J97" s="4"/>
    </row>
    <row r="98" spans="8:10" ht="12.75">
      <c r="H98" s="4"/>
      <c r="I98" s="4"/>
      <c r="J98" s="4"/>
    </row>
    <row r="99" spans="3:10" ht="14.25">
      <c r="C99" s="364" t="s">
        <v>261</v>
      </c>
      <c r="D99" s="364"/>
      <c r="E99" s="364"/>
      <c r="F99" s="364"/>
      <c r="G99" s="364"/>
      <c r="H99" s="142">
        <f>H12+H49+H68+H83+H92</f>
        <v>2650526</v>
      </c>
      <c r="I99" s="142">
        <f>I12+I49+I68+I83+I92</f>
        <v>0</v>
      </c>
      <c r="J99" s="142">
        <f>J12+J49+J68+J83+J92</f>
        <v>2650526</v>
      </c>
    </row>
    <row r="100" spans="3:10" ht="14.25">
      <c r="C100" s="143"/>
      <c r="D100" s="143"/>
      <c r="E100" s="143"/>
      <c r="F100" s="143"/>
      <c r="G100" s="143"/>
      <c r="H100" s="144"/>
      <c r="I100" s="144"/>
      <c r="J100" s="144"/>
    </row>
    <row r="101" spans="3:10" ht="14.25">
      <c r="C101" s="143"/>
      <c r="D101" s="143"/>
      <c r="E101" s="143"/>
      <c r="F101" s="143"/>
      <c r="G101" s="143"/>
      <c r="H101" s="144"/>
      <c r="I101" s="144"/>
      <c r="J101" s="144"/>
    </row>
    <row r="102" spans="3:10" ht="14.25">
      <c r="C102" s="143"/>
      <c r="D102" s="143"/>
      <c r="E102" s="143"/>
      <c r="F102" s="143"/>
      <c r="G102" s="143"/>
      <c r="H102" s="144"/>
      <c r="I102" s="144"/>
      <c r="J102" s="144"/>
    </row>
    <row r="103" spans="2:9" ht="12.75">
      <c r="B103" s="102" t="s">
        <v>203</v>
      </c>
      <c r="I103" s="130" t="s">
        <v>204</v>
      </c>
    </row>
  </sheetData>
  <mergeCells count="58">
    <mergeCell ref="C96:G96"/>
    <mergeCell ref="C99:G99"/>
    <mergeCell ref="C92:G92"/>
    <mergeCell ref="C93:G93"/>
    <mergeCell ref="C94:G94"/>
    <mergeCell ref="C95:G95"/>
    <mergeCell ref="C85:G85"/>
    <mergeCell ref="C86:G86"/>
    <mergeCell ref="C89:G89"/>
    <mergeCell ref="C91:G91"/>
    <mergeCell ref="C80:H80"/>
    <mergeCell ref="C82:H82"/>
    <mergeCell ref="C83:G83"/>
    <mergeCell ref="C84:G84"/>
    <mergeCell ref="C69:G69"/>
    <mergeCell ref="C70:G70"/>
    <mergeCell ref="C71:G71"/>
    <mergeCell ref="C73:H73"/>
    <mergeCell ref="C62:G62"/>
    <mergeCell ref="C65:H65"/>
    <mergeCell ref="C67:G67"/>
    <mergeCell ref="C68:G68"/>
    <mergeCell ref="C50:G50"/>
    <mergeCell ref="C51:G51"/>
    <mergeCell ref="C52:G52"/>
    <mergeCell ref="C54:H54"/>
    <mergeCell ref="C43:G43"/>
    <mergeCell ref="C46:G46"/>
    <mergeCell ref="C48:G48"/>
    <mergeCell ref="C49:G49"/>
    <mergeCell ref="C39:G39"/>
    <mergeCell ref="C40:G40"/>
    <mergeCell ref="C41:G41"/>
    <mergeCell ref="C42:G42"/>
    <mergeCell ref="C33:G33"/>
    <mergeCell ref="C34:G34"/>
    <mergeCell ref="C35:G35"/>
    <mergeCell ref="C38:G38"/>
    <mergeCell ref="C28:G28"/>
    <mergeCell ref="C30:G30"/>
    <mergeCell ref="C31:G31"/>
    <mergeCell ref="C32:G32"/>
    <mergeCell ref="C24:G24"/>
    <mergeCell ref="C25:G25"/>
    <mergeCell ref="C26:G26"/>
    <mergeCell ref="C27:G27"/>
    <mergeCell ref="C18:G18"/>
    <mergeCell ref="C19:G19"/>
    <mergeCell ref="C20:G20"/>
    <mergeCell ref="C23:G23"/>
    <mergeCell ref="C13:G13"/>
    <mergeCell ref="D14:G14"/>
    <mergeCell ref="D15:G15"/>
    <mergeCell ref="C16:G16"/>
    <mergeCell ref="B6:H6"/>
    <mergeCell ref="C8:G8"/>
    <mergeCell ref="C10:G10"/>
    <mergeCell ref="C12:G12"/>
  </mergeCells>
  <printOptions/>
  <pageMargins left="0.4" right="0.16" top="0.37" bottom="0.37" header="0.17" footer="0.18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59"/>
  <sheetViews>
    <sheetView zoomScale="120" zoomScaleNormal="120" workbookViewId="0" topLeftCell="A1">
      <selection activeCell="C3" sqref="C3"/>
    </sheetView>
  </sheetViews>
  <sheetFormatPr defaultColWidth="9.140625" defaultRowHeight="12.75"/>
  <cols>
    <col min="1" max="1" width="3.57421875" style="1" customWidth="1"/>
    <col min="2" max="2" width="10.421875" style="101" customWidth="1"/>
    <col min="3" max="3" width="46.28125" style="1" customWidth="1"/>
    <col min="4" max="6" width="11.00390625" style="1" customWidth="1"/>
    <col min="7" max="16384" width="9.140625" style="1" customWidth="1"/>
  </cols>
  <sheetData>
    <row r="1" spans="2:6" s="26" customFormat="1" ht="11.25">
      <c r="B1" s="27"/>
      <c r="D1" s="133"/>
      <c r="E1" s="133" t="s">
        <v>262</v>
      </c>
      <c r="F1" s="133"/>
    </row>
    <row r="2" spans="2:6" s="26" customFormat="1" ht="11.25">
      <c r="B2" s="27"/>
      <c r="D2" s="28"/>
      <c r="E2" s="28" t="s">
        <v>470</v>
      </c>
      <c r="F2" s="28"/>
    </row>
    <row r="3" spans="2:6" s="26" customFormat="1" ht="11.25">
      <c r="B3" s="27"/>
      <c r="D3" s="28"/>
      <c r="E3" s="28" t="s">
        <v>494</v>
      </c>
      <c r="F3" s="28"/>
    </row>
    <row r="4" spans="2:6" s="26" customFormat="1" ht="11.25">
      <c r="B4" s="27"/>
      <c r="D4" s="28"/>
      <c r="E4" s="28" t="s">
        <v>495</v>
      </c>
      <c r="F4" s="28"/>
    </row>
    <row r="5" spans="4:6" ht="12" customHeight="1">
      <c r="D5" s="101"/>
      <c r="E5" s="101"/>
      <c r="F5" s="101"/>
    </row>
    <row r="6" spans="2:4" s="145" customFormat="1" ht="15" customHeight="1">
      <c r="B6" s="365" t="s">
        <v>263</v>
      </c>
      <c r="C6" s="365"/>
      <c r="D6" s="365"/>
    </row>
    <row r="7" spans="2:4" s="145" customFormat="1" ht="13.5" customHeight="1">
      <c r="B7" s="365" t="s">
        <v>264</v>
      </c>
      <c r="C7" s="365"/>
      <c r="D7" s="365"/>
    </row>
    <row r="8" spans="4:6" ht="10.5" customHeight="1">
      <c r="D8" s="127"/>
      <c r="E8" s="127"/>
      <c r="F8" s="127"/>
    </row>
    <row r="9" spans="2:6" s="17" customFormat="1" ht="45" customHeight="1">
      <c r="B9" s="7" t="s">
        <v>1</v>
      </c>
      <c r="C9" s="276" t="s">
        <v>2</v>
      </c>
      <c r="D9" s="277" t="s">
        <v>463</v>
      </c>
      <c r="E9" s="277" t="s">
        <v>440</v>
      </c>
      <c r="F9" s="277" t="s">
        <v>464</v>
      </c>
    </row>
    <row r="10" spans="2:6" ht="11.25" customHeight="1">
      <c r="B10" s="146"/>
      <c r="C10" s="147"/>
      <c r="D10" s="146"/>
      <c r="E10" s="146"/>
      <c r="F10" s="146"/>
    </row>
    <row r="11" spans="2:6" s="6" customFormat="1" ht="12">
      <c r="B11" s="148" t="s">
        <v>205</v>
      </c>
      <c r="C11" s="149" t="s">
        <v>121</v>
      </c>
      <c r="D11" s="150">
        <f>SUM(D13+D14+D15+D16+D17+D18+D19)</f>
        <v>48400</v>
      </c>
      <c r="E11" s="150">
        <f>SUM(E13+E14+E15+E16+E17+E18+E19)</f>
        <v>0</v>
      </c>
      <c r="F11" s="150">
        <f>SUM(F13+F14+F15+F16+F17+F18+F19)</f>
        <v>48400</v>
      </c>
    </row>
    <row r="12" spans="2:6" s="26" customFormat="1" ht="6.75" customHeight="1">
      <c r="B12" s="21"/>
      <c r="C12" s="151"/>
      <c r="D12" s="23"/>
      <c r="E12" s="23"/>
      <c r="F12" s="23"/>
    </row>
    <row r="13" spans="2:6" s="26" customFormat="1" ht="11.25">
      <c r="B13" s="122" t="s">
        <v>245</v>
      </c>
      <c r="C13" s="28" t="s">
        <v>265</v>
      </c>
      <c r="D13" s="25">
        <v>30000</v>
      </c>
      <c r="E13" s="25"/>
      <c r="F13" s="25">
        <f>SUM(D13:E13)</f>
        <v>30000</v>
      </c>
    </row>
    <row r="14" spans="2:6" s="26" customFormat="1" ht="11.25">
      <c r="B14" s="122" t="s">
        <v>125</v>
      </c>
      <c r="C14" s="26" t="s">
        <v>266</v>
      </c>
      <c r="D14" s="25">
        <v>4800</v>
      </c>
      <c r="E14" s="25"/>
      <c r="F14" s="25">
        <f aca="true" t="shared" si="0" ref="F14:F19">SUM(D14:E14)</f>
        <v>4800</v>
      </c>
    </row>
    <row r="15" spans="2:6" s="26" customFormat="1" ht="11.25">
      <c r="B15" s="122" t="s">
        <v>125</v>
      </c>
      <c r="C15" s="26" t="s">
        <v>267</v>
      </c>
      <c r="D15" s="25">
        <v>1800</v>
      </c>
      <c r="E15" s="25"/>
      <c r="F15" s="25">
        <f t="shared" si="0"/>
        <v>1800</v>
      </c>
    </row>
    <row r="16" spans="2:6" s="6" customFormat="1" ht="12">
      <c r="B16" s="122" t="s">
        <v>125</v>
      </c>
      <c r="C16" s="26" t="s">
        <v>268</v>
      </c>
      <c r="D16" s="25">
        <v>100</v>
      </c>
      <c r="E16" s="25"/>
      <c r="F16" s="25">
        <f t="shared" si="0"/>
        <v>100</v>
      </c>
    </row>
    <row r="17" spans="2:6" s="26" customFormat="1" ht="11.25" customHeight="1">
      <c r="B17" s="122" t="s">
        <v>125</v>
      </c>
      <c r="C17" s="26" t="s">
        <v>269</v>
      </c>
      <c r="D17" s="25">
        <v>10000</v>
      </c>
      <c r="E17" s="25"/>
      <c r="F17" s="25">
        <f t="shared" si="0"/>
        <v>10000</v>
      </c>
    </row>
    <row r="18" spans="2:6" s="26" customFormat="1" ht="21.75" customHeight="1">
      <c r="B18" s="152" t="s">
        <v>125</v>
      </c>
      <c r="C18" s="153" t="s">
        <v>270</v>
      </c>
      <c r="D18" s="25">
        <v>1000</v>
      </c>
      <c r="E18" s="25"/>
      <c r="F18" s="25">
        <f t="shared" si="0"/>
        <v>1000</v>
      </c>
    </row>
    <row r="19" spans="2:6" s="26" customFormat="1" ht="11.25" customHeight="1">
      <c r="B19" s="154" t="s">
        <v>125</v>
      </c>
      <c r="C19" s="33" t="s">
        <v>271</v>
      </c>
      <c r="D19" s="52">
        <v>700</v>
      </c>
      <c r="E19" s="52"/>
      <c r="F19" s="25">
        <f t="shared" si="0"/>
        <v>700</v>
      </c>
    </row>
    <row r="20" spans="2:6" s="26" customFormat="1" ht="11.25" customHeight="1">
      <c r="B20" s="154"/>
      <c r="C20" s="33"/>
      <c r="D20" s="52"/>
      <c r="E20" s="52"/>
      <c r="F20" s="52"/>
    </row>
    <row r="21" spans="2:6" s="6" customFormat="1" ht="12">
      <c r="B21" s="155" t="s">
        <v>123</v>
      </c>
      <c r="C21" s="149" t="s">
        <v>106</v>
      </c>
      <c r="D21" s="150">
        <v>49235</v>
      </c>
      <c r="E21" s="150">
        <f>-2000-3637</f>
        <v>-5637</v>
      </c>
      <c r="F21" s="150">
        <f>SUM(D21:E21)</f>
        <v>43598</v>
      </c>
    </row>
    <row r="22" spans="2:6" s="26" customFormat="1" ht="11.25" customHeight="1">
      <c r="B22" s="154"/>
      <c r="C22" s="33"/>
      <c r="D22" s="52"/>
      <c r="E22" s="52"/>
      <c r="F22" s="52"/>
    </row>
    <row r="23" spans="2:6" s="26" customFormat="1" ht="12.75" customHeight="1">
      <c r="B23" s="27"/>
      <c r="D23" s="25"/>
      <c r="E23" s="25"/>
      <c r="F23" s="25"/>
    </row>
    <row r="24" spans="2:6" s="6" customFormat="1" ht="12">
      <c r="B24" s="148" t="s">
        <v>22</v>
      </c>
      <c r="C24" s="149" t="s">
        <v>134</v>
      </c>
      <c r="D24" s="150">
        <f>SUM(D26:D26)</f>
        <v>9200</v>
      </c>
      <c r="E24" s="150">
        <f>SUM(E26:E26)</f>
        <v>0</v>
      </c>
      <c r="F24" s="150">
        <f>SUM(F26:F26)</f>
        <v>9200</v>
      </c>
    </row>
    <row r="25" spans="2:6" s="26" customFormat="1" ht="11.25">
      <c r="B25" s="21"/>
      <c r="D25" s="25"/>
      <c r="E25" s="25"/>
      <c r="F25" s="25"/>
    </row>
    <row r="26" spans="2:6" s="26" customFormat="1" ht="11.25">
      <c r="B26" s="122" t="s">
        <v>272</v>
      </c>
      <c r="C26" s="26" t="s">
        <v>273</v>
      </c>
      <c r="D26" s="25">
        <v>9200</v>
      </c>
      <c r="E26" s="25"/>
      <c r="F26" s="25">
        <f>SUM(D26:E26)</f>
        <v>9200</v>
      </c>
    </row>
    <row r="27" spans="2:6" s="26" customFormat="1" ht="7.5" customHeight="1">
      <c r="B27" s="122"/>
      <c r="D27" s="25"/>
      <c r="E27" s="25"/>
      <c r="F27" s="25"/>
    </row>
    <row r="28" spans="2:6" s="6" customFormat="1" ht="12">
      <c r="B28" s="155" t="s">
        <v>60</v>
      </c>
      <c r="C28" s="149" t="s">
        <v>229</v>
      </c>
      <c r="D28" s="150">
        <f>D30</f>
        <v>14900</v>
      </c>
      <c r="E28" s="150">
        <f>E30</f>
        <v>0</v>
      </c>
      <c r="F28" s="150">
        <f>F30</f>
        <v>14900</v>
      </c>
    </row>
    <row r="29" spans="2:6" s="6" customFormat="1" ht="7.5" customHeight="1">
      <c r="B29" s="156"/>
      <c r="C29" s="60"/>
      <c r="D29" s="19"/>
      <c r="E29" s="19"/>
      <c r="F29" s="19"/>
    </row>
    <row r="30" spans="2:6" s="26" customFormat="1" ht="11.25">
      <c r="B30" s="122" t="s">
        <v>156</v>
      </c>
      <c r="C30" s="26" t="s">
        <v>274</v>
      </c>
      <c r="D30" s="25">
        <v>14900</v>
      </c>
      <c r="E30" s="25"/>
      <c r="F30" s="25">
        <f>SUM(D30:E30)</f>
        <v>14900</v>
      </c>
    </row>
    <row r="31" spans="2:6" s="26" customFormat="1" ht="9.75" customHeight="1">
      <c r="B31" s="122"/>
      <c r="D31" s="25"/>
      <c r="E31" s="25"/>
      <c r="F31" s="25"/>
    </row>
    <row r="32" spans="2:6" s="6" customFormat="1" ht="12">
      <c r="B32" s="148" t="s">
        <v>69</v>
      </c>
      <c r="C32" s="149" t="s">
        <v>196</v>
      </c>
      <c r="D32" s="150">
        <f>SUM(D34:D43)</f>
        <v>323969</v>
      </c>
      <c r="E32" s="150">
        <f>SUM(E34:E43)</f>
        <v>3637</v>
      </c>
      <c r="F32" s="150">
        <f>SUM(F34:F43)</f>
        <v>327606</v>
      </c>
    </row>
    <row r="33" spans="2:6" s="6" customFormat="1" ht="9" customHeight="1">
      <c r="B33" s="156"/>
      <c r="C33" s="60"/>
      <c r="D33" s="19"/>
      <c r="E33" s="19"/>
      <c r="F33" s="19"/>
    </row>
    <row r="34" spans="2:6" s="26" customFormat="1" ht="11.25">
      <c r="B34" s="157" t="s">
        <v>74</v>
      </c>
      <c r="C34" s="26" t="s">
        <v>275</v>
      </c>
      <c r="D34" s="25">
        <v>70000</v>
      </c>
      <c r="E34" s="25"/>
      <c r="F34" s="25">
        <f>SUM(D34:E34)</f>
        <v>70000</v>
      </c>
    </row>
    <row r="35" spans="2:6" s="26" customFormat="1" ht="11.25">
      <c r="B35" s="181" t="s">
        <v>74</v>
      </c>
      <c r="C35" s="26" t="s">
        <v>504</v>
      </c>
      <c r="D35" s="25">
        <v>174969</v>
      </c>
      <c r="E35" s="25"/>
      <c r="F35" s="25">
        <f aca="true" t="shared" si="1" ref="F35:F43">SUM(D35:E35)</f>
        <v>174969</v>
      </c>
    </row>
    <row r="36" spans="2:6" s="26" customFormat="1" ht="11.25">
      <c r="B36" s="157" t="s">
        <v>276</v>
      </c>
      <c r="C36" s="26" t="s">
        <v>277</v>
      </c>
      <c r="D36" s="25">
        <v>35000</v>
      </c>
      <c r="E36" s="25"/>
      <c r="F36" s="25">
        <f t="shared" si="1"/>
        <v>35000</v>
      </c>
    </row>
    <row r="37" spans="2:6" s="33" customFormat="1" ht="11.25">
      <c r="B37" s="154" t="s">
        <v>278</v>
      </c>
      <c r="C37" s="33" t="s">
        <v>465</v>
      </c>
      <c r="D37" s="52">
        <v>10000</v>
      </c>
      <c r="E37" s="52"/>
      <c r="F37" s="25">
        <f t="shared" si="1"/>
        <v>10000</v>
      </c>
    </row>
    <row r="38" spans="2:6" s="26" customFormat="1" ht="11.25">
      <c r="B38" s="122" t="s">
        <v>278</v>
      </c>
      <c r="C38" s="26" t="s">
        <v>279</v>
      </c>
      <c r="D38" s="25">
        <v>3000</v>
      </c>
      <c r="E38" s="25"/>
      <c r="F38" s="25">
        <f t="shared" si="1"/>
        <v>3000</v>
      </c>
    </row>
    <row r="39" spans="2:6" s="26" customFormat="1" ht="11.25">
      <c r="B39" s="157" t="s">
        <v>278</v>
      </c>
      <c r="C39" s="26" t="s">
        <v>466</v>
      </c>
      <c r="D39" s="25">
        <v>5000</v>
      </c>
      <c r="E39" s="25"/>
      <c r="F39" s="25">
        <f t="shared" si="1"/>
        <v>5000</v>
      </c>
    </row>
    <row r="40" spans="2:6" s="26" customFormat="1" ht="11.25">
      <c r="B40" s="157" t="s">
        <v>278</v>
      </c>
      <c r="C40" s="26" t="s">
        <v>280</v>
      </c>
      <c r="D40" s="25">
        <v>15000</v>
      </c>
      <c r="E40" s="25"/>
      <c r="F40" s="25">
        <f t="shared" si="1"/>
        <v>15000</v>
      </c>
    </row>
    <row r="41" spans="2:6" s="26" customFormat="1" ht="11.25">
      <c r="B41" s="181" t="s">
        <v>468</v>
      </c>
      <c r="C41" s="26" t="s">
        <v>469</v>
      </c>
      <c r="D41" s="25">
        <v>0</v>
      </c>
      <c r="E41" s="25">
        <v>3637</v>
      </c>
      <c r="F41" s="25">
        <f t="shared" si="1"/>
        <v>3637</v>
      </c>
    </row>
    <row r="42" spans="2:6" s="26" customFormat="1" ht="24" customHeight="1">
      <c r="B42" s="158" t="s">
        <v>179</v>
      </c>
      <c r="C42" s="153" t="s">
        <v>505</v>
      </c>
      <c r="D42" s="25">
        <v>10000</v>
      </c>
      <c r="E42" s="25"/>
      <c r="F42" s="25">
        <f t="shared" si="1"/>
        <v>10000</v>
      </c>
    </row>
    <row r="43" spans="2:6" s="26" customFormat="1" ht="11.25">
      <c r="B43" s="122" t="s">
        <v>179</v>
      </c>
      <c r="C43" s="26" t="s">
        <v>281</v>
      </c>
      <c r="D43" s="25">
        <v>1000</v>
      </c>
      <c r="E43" s="25"/>
      <c r="F43" s="25">
        <f t="shared" si="1"/>
        <v>1000</v>
      </c>
    </row>
    <row r="44" spans="2:6" s="26" customFormat="1" ht="9.75" customHeight="1">
      <c r="B44" s="27"/>
      <c r="D44" s="25"/>
      <c r="E44" s="25"/>
      <c r="F44" s="25"/>
    </row>
    <row r="45" spans="2:6" s="6" customFormat="1" ht="12">
      <c r="B45" s="155" t="s">
        <v>93</v>
      </c>
      <c r="C45" s="149" t="s">
        <v>23</v>
      </c>
      <c r="D45" s="150">
        <f>D48+D47</f>
        <v>2600</v>
      </c>
      <c r="E45" s="150">
        <f>E48+E47</f>
        <v>2000</v>
      </c>
      <c r="F45" s="150">
        <f>F48+F47</f>
        <v>4600</v>
      </c>
    </row>
    <row r="46" spans="2:6" s="26" customFormat="1" ht="9.75" customHeight="1">
      <c r="B46" s="27"/>
      <c r="D46" s="25"/>
      <c r="E46" s="25"/>
      <c r="F46" s="25"/>
    </row>
    <row r="47" spans="2:6" s="26" customFormat="1" ht="11.25" customHeight="1">
      <c r="B47" s="27" t="s">
        <v>282</v>
      </c>
      <c r="C47" s="26" t="s">
        <v>467</v>
      </c>
      <c r="D47" s="25">
        <v>0</v>
      </c>
      <c r="E47" s="25">
        <v>2000</v>
      </c>
      <c r="F47" s="25">
        <f>SUM(D47:E47)</f>
        <v>2000</v>
      </c>
    </row>
    <row r="48" spans="2:6" s="33" customFormat="1" ht="22.5">
      <c r="B48" s="154" t="s">
        <v>282</v>
      </c>
      <c r="C48" s="33" t="s">
        <v>283</v>
      </c>
      <c r="D48" s="52">
        <v>2600</v>
      </c>
      <c r="E48" s="52"/>
      <c r="F48" s="52">
        <f>SUM(D48:E48)</f>
        <v>2600</v>
      </c>
    </row>
    <row r="49" spans="2:6" s="33" customFormat="1" ht="11.25">
      <c r="B49" s="154"/>
      <c r="D49" s="52"/>
      <c r="E49" s="52"/>
      <c r="F49" s="52"/>
    </row>
    <row r="50" spans="2:6" s="6" customFormat="1" ht="12">
      <c r="B50" s="155" t="s">
        <v>160</v>
      </c>
      <c r="C50" s="149" t="s">
        <v>230</v>
      </c>
      <c r="D50" s="150">
        <f>SUM(D52+D53)</f>
        <v>10650</v>
      </c>
      <c r="E50" s="150">
        <f>SUM(E52+E53)</f>
        <v>0</v>
      </c>
      <c r="F50" s="150">
        <f>SUM(F52+F53)</f>
        <v>10650</v>
      </c>
    </row>
    <row r="51" spans="2:6" s="6" customFormat="1" ht="8.25" customHeight="1">
      <c r="B51" s="156"/>
      <c r="C51" s="60"/>
      <c r="D51" s="19"/>
      <c r="E51" s="19"/>
      <c r="F51" s="19"/>
    </row>
    <row r="52" spans="2:6" s="33" customFormat="1" ht="33.75" customHeight="1">
      <c r="B52" s="154" t="s">
        <v>172</v>
      </c>
      <c r="C52" s="33" t="s">
        <v>506</v>
      </c>
      <c r="D52" s="52">
        <v>650</v>
      </c>
      <c r="E52" s="52"/>
      <c r="F52" s="52">
        <f>SUM(D52:E52)</f>
        <v>650</v>
      </c>
    </row>
    <row r="53" spans="2:6" s="33" customFormat="1" ht="22.5" customHeight="1">
      <c r="B53" s="154" t="s">
        <v>284</v>
      </c>
      <c r="C53" s="33" t="s">
        <v>285</v>
      </c>
      <c r="D53" s="52">
        <v>10000</v>
      </c>
      <c r="E53" s="52"/>
      <c r="F53" s="52">
        <f>SUM(D53:E53)</f>
        <v>10000</v>
      </c>
    </row>
    <row r="54" spans="2:6" ht="12.75">
      <c r="B54" s="159"/>
      <c r="C54" s="26"/>
      <c r="D54" s="4"/>
      <c r="E54" s="4"/>
      <c r="F54" s="4"/>
    </row>
    <row r="55" spans="4:6" ht="9" customHeight="1">
      <c r="D55" s="101"/>
      <c r="E55" s="101"/>
      <c r="F55" s="101"/>
    </row>
    <row r="56" spans="3:6" ht="15" customHeight="1">
      <c r="C56" s="160" t="s">
        <v>8</v>
      </c>
      <c r="D56" s="142">
        <f>D11+D21+D24+D28+D32+D45+D50</f>
        <v>458954</v>
      </c>
      <c r="E56" s="142">
        <f>E11+E21+E24+E28+E32+E45+E50</f>
        <v>0</v>
      </c>
      <c r="F56" s="142">
        <f>F11+F21+F24+F28+F32+F45+F50</f>
        <v>458954</v>
      </c>
    </row>
    <row r="57" ht="12.75" customHeight="1"/>
    <row r="58" ht="12.75" customHeight="1"/>
    <row r="59" spans="2:5" ht="22.5" customHeight="1">
      <c r="B59" s="366" t="s">
        <v>203</v>
      </c>
      <c r="C59" s="366"/>
      <c r="E59" s="1" t="s">
        <v>204</v>
      </c>
    </row>
  </sheetData>
  <mergeCells count="3">
    <mergeCell ref="B6:D6"/>
    <mergeCell ref="B7:D7"/>
    <mergeCell ref="B59:C59"/>
  </mergeCells>
  <printOptions/>
  <pageMargins left="0.59" right="0.16" top="0.23" bottom="0.37" header="0.17" footer="0.2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A1">
      <selection activeCell="D26" sqref="D26:G26"/>
    </sheetView>
  </sheetViews>
  <sheetFormatPr defaultColWidth="9.140625" defaultRowHeight="12.75"/>
  <cols>
    <col min="1" max="1" width="3.421875" style="1" customWidth="1"/>
    <col min="2" max="2" width="11.140625" style="1" customWidth="1"/>
    <col min="3" max="3" width="3.7109375" style="1" customWidth="1"/>
    <col min="4" max="5" width="9.140625" style="1" customWidth="1"/>
    <col min="6" max="6" width="12.00390625" style="1" customWidth="1"/>
    <col min="7" max="7" width="11.57421875" style="1" customWidth="1"/>
    <col min="8" max="8" width="1.421875" style="1" hidden="1" customWidth="1"/>
    <col min="9" max="9" width="0.13671875" style="1" hidden="1" customWidth="1"/>
    <col min="10" max="10" width="10.8515625" style="1" customWidth="1"/>
    <col min="11" max="12" width="11.00390625" style="1" customWidth="1"/>
    <col min="13" max="16384" width="9.140625" style="1" customWidth="1"/>
  </cols>
  <sheetData>
    <row r="1" spans="2:12" ht="12.75">
      <c r="B1" s="127"/>
      <c r="H1" s="20" t="s">
        <v>286</v>
      </c>
      <c r="J1" s="133"/>
      <c r="K1" s="133" t="s">
        <v>286</v>
      </c>
      <c r="L1" s="133"/>
    </row>
    <row r="2" spans="2:12" ht="12.75">
      <c r="B2" s="127"/>
      <c r="H2" s="26" t="s">
        <v>287</v>
      </c>
      <c r="J2" s="28"/>
      <c r="K2" s="28" t="s">
        <v>470</v>
      </c>
      <c r="L2" s="28"/>
    </row>
    <row r="3" spans="2:12" ht="12.75">
      <c r="B3" s="127"/>
      <c r="H3" s="26" t="s">
        <v>288</v>
      </c>
      <c r="J3" s="28"/>
      <c r="K3" s="28" t="s">
        <v>494</v>
      </c>
      <c r="L3" s="28"/>
    </row>
    <row r="4" spans="2:12" ht="12.75">
      <c r="B4" s="127"/>
      <c r="H4" s="26" t="s">
        <v>289</v>
      </c>
      <c r="J4" s="28"/>
      <c r="K4" s="28" t="s">
        <v>495</v>
      </c>
      <c r="L4" s="28"/>
    </row>
    <row r="5" spans="2:12" ht="12.75">
      <c r="B5" s="127"/>
      <c r="J5" s="101"/>
      <c r="K5" s="101"/>
      <c r="L5" s="101"/>
    </row>
    <row r="6" spans="2:11" s="5" customFormat="1" ht="30" customHeight="1">
      <c r="B6" s="370" t="s">
        <v>473</v>
      </c>
      <c r="C6" s="370"/>
      <c r="D6" s="370"/>
      <c r="E6" s="370"/>
      <c r="F6" s="370"/>
      <c r="G6" s="370"/>
      <c r="H6" s="370"/>
      <c r="I6" s="370"/>
      <c r="J6" s="370"/>
      <c r="K6" s="370"/>
    </row>
    <row r="7" spans="2:12" ht="12" customHeight="1">
      <c r="B7" s="127"/>
      <c r="J7" s="127"/>
      <c r="K7" s="127"/>
      <c r="L7" s="127"/>
    </row>
    <row r="8" spans="2:12" ht="12" customHeight="1">
      <c r="B8" s="127"/>
      <c r="J8" s="127"/>
      <c r="K8" s="127"/>
      <c r="L8" s="127"/>
    </row>
    <row r="9" spans="2:12" s="17" customFormat="1" ht="48.75" customHeight="1">
      <c r="B9" s="7" t="s">
        <v>1</v>
      </c>
      <c r="C9" s="367" t="s">
        <v>2</v>
      </c>
      <c r="D9" s="368"/>
      <c r="E9" s="368"/>
      <c r="F9" s="368"/>
      <c r="G9" s="368"/>
      <c r="H9" s="369"/>
      <c r="I9" s="274"/>
      <c r="J9" s="277" t="s">
        <v>471</v>
      </c>
      <c r="K9" s="277" t="s">
        <v>440</v>
      </c>
      <c r="L9" s="277" t="s">
        <v>472</v>
      </c>
    </row>
    <row r="10" spans="10:12" ht="12.75">
      <c r="J10" s="101"/>
      <c r="K10" s="101"/>
      <c r="L10" s="101"/>
    </row>
    <row r="11" spans="2:12" ht="12.75">
      <c r="B11" s="101"/>
      <c r="C11" s="318" t="s">
        <v>220</v>
      </c>
      <c r="D11" s="318"/>
      <c r="E11" s="318"/>
      <c r="F11" s="318"/>
      <c r="G11" s="318"/>
      <c r="H11" s="91"/>
      <c r="I11" s="91"/>
      <c r="J11" s="161">
        <f>J12+J13</f>
        <v>3015</v>
      </c>
      <c r="K11" s="161">
        <f>K12+K13</f>
        <v>7500</v>
      </c>
      <c r="L11" s="161">
        <f>L12+L13</f>
        <v>10515</v>
      </c>
    </row>
    <row r="12" spans="2:12" ht="12.75">
      <c r="B12" s="101"/>
      <c r="C12" s="26"/>
      <c r="D12" s="321" t="s">
        <v>290</v>
      </c>
      <c r="E12" s="321"/>
      <c r="F12" s="321"/>
      <c r="G12" s="321"/>
      <c r="H12" s="26"/>
      <c r="I12" s="26"/>
      <c r="J12" s="25">
        <v>3000</v>
      </c>
      <c r="K12" s="25">
        <v>7500</v>
      </c>
      <c r="L12" s="25">
        <f>SUM(J12:K12)</f>
        <v>10500</v>
      </c>
    </row>
    <row r="13" spans="2:12" ht="12.75">
      <c r="B13" s="101"/>
      <c r="C13" s="26"/>
      <c r="D13" s="321" t="s">
        <v>291</v>
      </c>
      <c r="E13" s="321"/>
      <c r="F13" s="321"/>
      <c r="G13" s="321"/>
      <c r="H13" s="26"/>
      <c r="I13" s="26"/>
      <c r="J13" s="25">
        <v>15</v>
      </c>
      <c r="K13" s="25"/>
      <c r="L13" s="25">
        <f>SUM(J13:K13)</f>
        <v>15</v>
      </c>
    </row>
    <row r="14" spans="2:12" ht="12.75">
      <c r="B14" s="101"/>
      <c r="J14" s="101"/>
      <c r="K14" s="101"/>
      <c r="L14" s="101"/>
    </row>
    <row r="15" spans="2:12" ht="12.75">
      <c r="B15" s="101"/>
      <c r="C15" s="318" t="s">
        <v>292</v>
      </c>
      <c r="D15" s="318"/>
      <c r="E15" s="318"/>
      <c r="F15" s="318"/>
      <c r="G15" s="318"/>
      <c r="H15" s="91"/>
      <c r="I15" s="91"/>
      <c r="J15" s="161">
        <f>J16+J17+J18+J20</f>
        <v>16123</v>
      </c>
      <c r="K15" s="161">
        <f>K16+K17+K18+K20</f>
        <v>7500</v>
      </c>
      <c r="L15" s="161">
        <f>L16+L17+L18+L20</f>
        <v>23623</v>
      </c>
    </row>
    <row r="16" spans="2:12" ht="12.75">
      <c r="B16" s="27" t="s">
        <v>205</v>
      </c>
      <c r="C16" s="321" t="s">
        <v>293</v>
      </c>
      <c r="D16" s="321"/>
      <c r="E16" s="321"/>
      <c r="F16" s="321"/>
      <c r="G16" s="321"/>
      <c r="H16" s="26"/>
      <c r="I16" s="26"/>
      <c r="J16" s="25">
        <v>1176</v>
      </c>
      <c r="K16" s="25">
        <v>6000</v>
      </c>
      <c r="L16" s="25">
        <f>SUM(J16:K16)</f>
        <v>7176</v>
      </c>
    </row>
    <row r="17" spans="2:12" ht="12.75">
      <c r="B17" s="122" t="s">
        <v>69</v>
      </c>
      <c r="C17" s="321" t="s">
        <v>196</v>
      </c>
      <c r="D17" s="321"/>
      <c r="E17" s="321"/>
      <c r="F17" s="321"/>
      <c r="G17" s="321"/>
      <c r="H17" s="26"/>
      <c r="I17" s="26"/>
      <c r="J17" s="25">
        <v>5120</v>
      </c>
      <c r="K17" s="25">
        <v>1500</v>
      </c>
      <c r="L17" s="25">
        <f>SUM(J17:K17)</f>
        <v>6620</v>
      </c>
    </row>
    <row r="18" spans="2:12" ht="12.75">
      <c r="B18" s="122" t="s">
        <v>93</v>
      </c>
      <c r="C18" s="321" t="s">
        <v>23</v>
      </c>
      <c r="D18" s="321"/>
      <c r="E18" s="321"/>
      <c r="F18" s="321"/>
      <c r="G18" s="321"/>
      <c r="H18" s="26"/>
      <c r="I18" s="26"/>
      <c r="J18" s="25">
        <f>4373+3015</f>
        <v>7388</v>
      </c>
      <c r="K18" s="25"/>
      <c r="L18" s="25">
        <f>SUM(J18:K18)</f>
        <v>7388</v>
      </c>
    </row>
    <row r="19" spans="2:12" ht="12.75" hidden="1">
      <c r="B19" s="101"/>
      <c r="J19" s="101"/>
      <c r="K19" s="101"/>
      <c r="L19" s="25">
        <f>SUM(J19:K19)</f>
        <v>0</v>
      </c>
    </row>
    <row r="20" spans="2:12" ht="12.75">
      <c r="B20" s="122" t="s">
        <v>160</v>
      </c>
      <c r="C20" s="321" t="s">
        <v>230</v>
      </c>
      <c r="D20" s="321"/>
      <c r="E20" s="321"/>
      <c r="F20" s="321"/>
      <c r="G20" s="321"/>
      <c r="H20" s="26"/>
      <c r="I20" s="26"/>
      <c r="J20" s="25">
        <v>2439</v>
      </c>
      <c r="K20" s="25"/>
      <c r="L20" s="25">
        <f>SUM(J20:K20)</f>
        <v>2439</v>
      </c>
    </row>
    <row r="21" spans="2:12" ht="12.75">
      <c r="B21" s="101"/>
      <c r="J21" s="101"/>
      <c r="K21" s="101"/>
      <c r="L21" s="101"/>
    </row>
    <row r="22" spans="2:12" ht="12.75" customHeight="1">
      <c r="B22" s="162"/>
      <c r="C22" s="318" t="s">
        <v>507</v>
      </c>
      <c r="D22" s="318"/>
      <c r="E22" s="318"/>
      <c r="F22" s="318"/>
      <c r="G22" s="318"/>
      <c r="H22" s="91"/>
      <c r="I22" s="91"/>
      <c r="J22" s="161">
        <f>J11-J15</f>
        <v>-13108</v>
      </c>
      <c r="K22" s="161">
        <f>K11-K15</f>
        <v>0</v>
      </c>
      <c r="L22" s="161">
        <f>L11-L15</f>
        <v>-13108</v>
      </c>
    </row>
    <row r="23" spans="2:12" s="91" customFormat="1" ht="12.75">
      <c r="B23" s="162"/>
      <c r="C23" s="91" t="s">
        <v>294</v>
      </c>
      <c r="J23" s="161">
        <f>SUM(J24)</f>
        <v>13108</v>
      </c>
      <c r="K23" s="161">
        <f>SUM(K24)</f>
        <v>0</v>
      </c>
      <c r="L23" s="161">
        <f>SUM(L24)</f>
        <v>13108</v>
      </c>
    </row>
    <row r="24" spans="2:12" ht="12.75">
      <c r="B24" s="101"/>
      <c r="C24" s="26" t="s">
        <v>295</v>
      </c>
      <c r="D24" s="26"/>
      <c r="E24" s="26"/>
      <c r="F24" s="26"/>
      <c r="G24" s="26"/>
      <c r="H24" s="26"/>
      <c r="I24" s="26"/>
      <c r="J24" s="25">
        <f>J25-J26</f>
        <v>13108</v>
      </c>
      <c r="K24" s="25">
        <f>K25-K26</f>
        <v>0</v>
      </c>
      <c r="L24" s="25">
        <f>L25-L26</f>
        <v>13108</v>
      </c>
    </row>
    <row r="25" spans="2:12" ht="12.75">
      <c r="B25" s="101"/>
      <c r="C25" s="26"/>
      <c r="D25" s="297" t="s">
        <v>296</v>
      </c>
      <c r="E25" s="297"/>
      <c r="F25" s="297"/>
      <c r="G25" s="297"/>
      <c r="H25" s="77"/>
      <c r="I25" s="26"/>
      <c r="J25" s="41">
        <v>13108</v>
      </c>
      <c r="K25" s="41"/>
      <c r="L25" s="41">
        <f>SUM(J25:K25)</f>
        <v>13108</v>
      </c>
    </row>
    <row r="26" spans="3:12" ht="12.75">
      <c r="C26" s="26"/>
      <c r="D26" s="297" t="s">
        <v>297</v>
      </c>
      <c r="E26" s="297"/>
      <c r="F26" s="297"/>
      <c r="G26" s="297"/>
      <c r="H26" s="77"/>
      <c r="I26" s="26"/>
      <c r="J26" s="75">
        <v>0</v>
      </c>
      <c r="K26" s="75"/>
      <c r="L26" s="41">
        <f>SUM(J26:K26)</f>
        <v>0</v>
      </c>
    </row>
    <row r="27" spans="10:12" ht="12.75">
      <c r="J27" s="101"/>
      <c r="K27" s="101"/>
      <c r="L27" s="101"/>
    </row>
    <row r="28" spans="10:12" ht="12.75">
      <c r="J28" s="127"/>
      <c r="K28" s="127"/>
      <c r="L28" s="127"/>
    </row>
    <row r="29" spans="10:12" ht="12.75">
      <c r="J29" s="127"/>
      <c r="K29" s="127"/>
      <c r="L29" s="127"/>
    </row>
    <row r="30" spans="10:12" ht="12.75">
      <c r="J30" s="127"/>
      <c r="K30" s="127"/>
      <c r="L30" s="127"/>
    </row>
    <row r="31" spans="2:11" ht="12.75">
      <c r="B31" s="1" t="s">
        <v>298</v>
      </c>
      <c r="K31" s="1" t="s">
        <v>204</v>
      </c>
    </row>
  </sheetData>
  <mergeCells count="13">
    <mergeCell ref="D26:G26"/>
    <mergeCell ref="D12:G12"/>
    <mergeCell ref="D13:G13"/>
    <mergeCell ref="C17:G17"/>
    <mergeCell ref="C18:G18"/>
    <mergeCell ref="C20:G20"/>
    <mergeCell ref="D25:G25"/>
    <mergeCell ref="C22:G22"/>
    <mergeCell ref="C9:H9"/>
    <mergeCell ref="C16:G16"/>
    <mergeCell ref="B6:K6"/>
    <mergeCell ref="C15:G15"/>
    <mergeCell ref="C11:G11"/>
  </mergeCells>
  <printOptions/>
  <pageMargins left="0.66" right="0.16" top="0.24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daina307</dc:creator>
  <cp:keywords/>
  <dc:description/>
  <cp:lastModifiedBy>daina307</cp:lastModifiedBy>
  <cp:lastPrinted>2007-03-27T19:12:23Z</cp:lastPrinted>
  <dcterms:created xsi:type="dcterms:W3CDTF">2006-11-06T19:53:56Z</dcterms:created>
  <dcterms:modified xsi:type="dcterms:W3CDTF">2007-05-02T16:25:34Z</dcterms:modified>
  <cp:category/>
  <cp:version/>
  <cp:contentType/>
  <cp:contentStatus/>
</cp:coreProperties>
</file>