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10" windowHeight="6255" activeTab="0"/>
  </bookViews>
  <sheets>
    <sheet name="1.piel" sheetId="1" r:id="rId1"/>
    <sheet name="2.piel" sheetId="2" r:id="rId2"/>
    <sheet name="4.piel" sheetId="3" r:id="rId3"/>
    <sheet name="5.piel" sheetId="4" r:id="rId4"/>
    <sheet name="6.piel" sheetId="5" r:id="rId5"/>
    <sheet name="9.piel" sheetId="6" r:id="rId6"/>
  </sheets>
  <definedNames/>
  <calcPr fullCalcOnLoad="1"/>
</workbook>
</file>

<file path=xl/sharedStrings.xml><?xml version="1.0" encoding="utf-8"?>
<sst xmlns="http://schemas.openxmlformats.org/spreadsheetml/2006/main" count="337" uniqueCount="258">
  <si>
    <t>1.pielikums</t>
  </si>
  <si>
    <t>Daugavpils pilsētas pašvaldības 2005.gada kopbudžets</t>
  </si>
  <si>
    <t>Rādītāji</t>
  </si>
  <si>
    <t xml:space="preserve"> 2005.gada budžets           /Ls/</t>
  </si>
  <si>
    <t xml:space="preserve">I </t>
  </si>
  <si>
    <t>Pašvaldības kopbudžeta ieņēmumi kopā (II+III+IV)</t>
  </si>
  <si>
    <t xml:space="preserve">II </t>
  </si>
  <si>
    <t>Pašvaldības pamatbudžeta ieņēmumi</t>
  </si>
  <si>
    <t>Nodokļu ieņēmumi</t>
  </si>
  <si>
    <t>Nenodokļu ieņēmumi</t>
  </si>
  <si>
    <t>Saņemtie maksājumi</t>
  </si>
  <si>
    <t>III</t>
  </si>
  <si>
    <t>Privatizācijas fonda līdzekļi</t>
  </si>
  <si>
    <t>Dabas resursu nodoklis</t>
  </si>
  <si>
    <t>Autoceļu (ielu) fonda līdzekļi</t>
  </si>
  <si>
    <t>Mērķdotācijas regulārajiem pasažieru pārvadājumiem</t>
  </si>
  <si>
    <t>IV</t>
  </si>
  <si>
    <t>Ziedojumu un dāvinājumu ieņēmumi</t>
  </si>
  <si>
    <t>V</t>
  </si>
  <si>
    <t>Pašvaldības kopbudžeta izdevumi kopā (VI+VII+VIII)</t>
  </si>
  <si>
    <t>VI</t>
  </si>
  <si>
    <t>Pašvaldības pamatbudžeta izdevumi</t>
  </si>
  <si>
    <t>VII</t>
  </si>
  <si>
    <t>VIII</t>
  </si>
  <si>
    <t>Ziedojumu un dāvinājumu izdevumi</t>
  </si>
  <si>
    <t>IX</t>
  </si>
  <si>
    <t>Budžeta fiskālais deficīts (-) vai pārpalikums (+)  (I-V)</t>
  </si>
  <si>
    <t>X</t>
  </si>
  <si>
    <t>Finansēšana</t>
  </si>
  <si>
    <t>Iekšējā finansēšana</t>
  </si>
  <si>
    <t>No citām valsts pārvaldes struktūrām</t>
  </si>
  <si>
    <t>Budžeta līdzekļu apjoma izmaiņas</t>
  </si>
  <si>
    <t>Budžeta līdzekļu atlikums gada sākumā</t>
  </si>
  <si>
    <t>Budžeta līdzekļu atlikums pārskata perioda beigās</t>
  </si>
  <si>
    <t>No komercbankām</t>
  </si>
  <si>
    <t>Domes priekšsēdētāja</t>
  </si>
  <si>
    <t>R.Strode</t>
  </si>
  <si>
    <t>2.pielikums</t>
  </si>
  <si>
    <t>Daugavpils pilsētas pašvaldības 2005.gada pamatbudžets</t>
  </si>
  <si>
    <t>Klasifikācijas kods</t>
  </si>
  <si>
    <t>I Ieņēmumi kopā (II+V)</t>
  </si>
  <si>
    <t>II Nodokļu un nenodokļu ieņēmumi (III+IV)</t>
  </si>
  <si>
    <t>III Nodokļu ieņēmumi (tiešie + netiešie nodokļi)</t>
  </si>
  <si>
    <t>tiešie nodokļi (1.1.0.0.+4.0.0.0.)</t>
  </si>
  <si>
    <t>1.1.0.0.</t>
  </si>
  <si>
    <t>Iedzīvotāju ienākuma nodoklis</t>
  </si>
  <si>
    <t>iepriekšēja gada nesadalītais atlikums (no Valsts kases sadales konta)</t>
  </si>
  <si>
    <t>4.0.0.0.</t>
  </si>
  <si>
    <t xml:space="preserve">Nodokļi no īpašuma </t>
  </si>
  <si>
    <t>4.1.0.0.</t>
  </si>
  <si>
    <t>Nekustamā īpašuma nodoklis:</t>
  </si>
  <si>
    <t>4.1.1.1.</t>
  </si>
  <si>
    <t>nekustamā īpašuma nodokļa par zemi kārtējā saimnieciskā gada ieņēmumi</t>
  </si>
  <si>
    <t>4.1.1.2.</t>
  </si>
  <si>
    <t>nekustamā īpašuma nodokļa par zemi iepriekšējo gadu parādu maksājumi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</si>
  <si>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</si>
  <si>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</si>
  <si>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</si>
  <si>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parādu maksājumi</t>
  </si>
  <si>
    <t>4.3.0.0.</t>
  </si>
  <si>
    <t>Zemes nodokļa parādu maksājumi</t>
  </si>
  <si>
    <t xml:space="preserve">netiešie nodokļi </t>
  </si>
  <si>
    <t>5.4.1.0.</t>
  </si>
  <si>
    <t>Azartspēļu nodoklis</t>
  </si>
  <si>
    <t>IV Nenodokļu ieņēmumi (8.0.+9.0.+10.0.+12.0.+13.0.)</t>
  </si>
  <si>
    <t>8.0.0.0.</t>
  </si>
  <si>
    <t>Ieņēmumi no uzņēmējdarbības un īpašuma</t>
  </si>
  <si>
    <t>9.0.0.0.</t>
  </si>
  <si>
    <t>Valsts (pašvaldību) nodevas un maksājumi (9.1.2.0+9.4.0.0.+9.5.0.0.+9.6.0.0.)</t>
  </si>
  <si>
    <t>9.1.2.0</t>
  </si>
  <si>
    <t>Valsts nodevas par notariālās darbības veikšanu</t>
  </si>
  <si>
    <t>9.4.0.0.</t>
  </si>
  <si>
    <t>Valsts un pašvaldību nodevas, kuras ieskaita pašvaldību budžetā</t>
  </si>
  <si>
    <t>9.5.0.0.</t>
  </si>
  <si>
    <t>Ieņēmumi no budžeta iestāžu sniegtajiem maksas pakalpojumiem un citi pašu ieņēmumi</t>
  </si>
  <si>
    <t>9.5.1.0.</t>
  </si>
  <si>
    <t>Maksa par izglītības pakalpojumiem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</si>
  <si>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</si>
  <si>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</si>
  <si>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</si>
  <si>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</si>
  <si>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</si>
  <si>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</si>
  <si>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9.5.9.0.</t>
  </si>
  <si>
    <t>Cit iepriekš neklasificētie maksas pakalpojumi un pašu ieņēmumi</t>
  </si>
  <si>
    <t>9.6.0.0.</t>
  </si>
  <si>
    <t>Ienākumi no pašvaldības īpašuma iznomāšanas</t>
  </si>
  <si>
    <t>10.0.0.0.</t>
  </si>
  <si>
    <t>Sodi un sankcijas</t>
  </si>
  <si>
    <t>12.0.0.0.</t>
  </si>
  <si>
    <t>Pārējie nenodokļu ieņēmumi</t>
  </si>
  <si>
    <t>13.0.0.0.</t>
  </si>
  <si>
    <t>Ieņēmumi no valsts (pašvaldības) nekustamā īpašuma pārdošanas</t>
  </si>
  <si>
    <t xml:space="preserve"> V Saņemtie maksājumi (18.1.+18.2.+18.3.)</t>
  </si>
  <si>
    <t>18.1.2.0.</t>
  </si>
  <si>
    <t>Norēķini ar pašvaldību budžetiem</t>
  </si>
  <si>
    <t>18.1.2.1.</t>
  </si>
  <si>
    <t>Norēķini ar citām pašvaldībām par izglītības iestāžu sniegtiem pakalpojumiem</t>
  </si>
  <si>
    <t>18.2.0.0.</t>
  </si>
  <si>
    <t>Maksājumi no valsts budžeta</t>
  </si>
  <si>
    <t>18.2.2.1.</t>
  </si>
  <si>
    <t xml:space="preserve">Mērķdotācijas izglītības pasākumiem 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</si>
  <si>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</si>
  <si>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</si>
  <si>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</si>
  <si>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</si>
  <si>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</si>
  <si>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</si>
  <si>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</si>
  <si>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 xml:space="preserve">Mērķdotācijas pašvaldību pamata, vispārējās vidējās izglītības, profesionālās izglītības, speciālās izglītības iestāžu, un daļējai interešu izglītības programmu pedagogu darba samaksai un valsts sociālās apdrošināšanas obligātajām iemaksām </t>
  </si>
  <si>
    <t>18.2.2.7.</t>
  </si>
  <si>
    <t xml:space="preserve">Mērķdotācijas pašvaldību izglītības iestāžu piecgadīgo un sešgadīgo bērnu apmācības pedagogu darba samaksai un valsts sociālās apdrošināšanas obligātajām iemaksām </t>
  </si>
  <si>
    <t>18.2.4.1</t>
  </si>
  <si>
    <t>Dotācija no valsts budžeta iestādēm pašvaldībām</t>
  </si>
  <si>
    <t>18.3.0.0.</t>
  </si>
  <si>
    <t>Maksājumi no pašvaldību finanšu izlīdzināšanas fonda pašvaldību budžetiem</t>
  </si>
  <si>
    <t>VI Izdevumi kopā pēc valdības funkcijām un norēķini (VII+VIII)</t>
  </si>
  <si>
    <t>VII Izdevumi pēc valdības funkcijām</t>
  </si>
  <si>
    <t>01.100</t>
  </si>
  <si>
    <t>Izpildvaras un likumdošanas varas institūcijas</t>
  </si>
  <si>
    <t>03.000</t>
  </si>
  <si>
    <t>Sabiedriskā kārtība un drošība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</si>
  <si>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</si>
  <si>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</si>
  <si>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</si>
  <si>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</si>
  <si>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</si>
  <si>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</si>
  <si>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</si>
  <si>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</si>
  <si>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</si>
  <si>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>Brīvais laiks, sports, kultūra un reliģija</t>
  </si>
  <si>
    <t>09.000</t>
  </si>
  <si>
    <t>Kurināmā un enerģētikas dienesti un pasākumi</t>
  </si>
  <si>
    <t>12.000</t>
  </si>
  <si>
    <t>Transports, sakari</t>
  </si>
  <si>
    <t>13.000</t>
  </si>
  <si>
    <t>Pārējā ekonomiskā darbība un dienesti</t>
  </si>
  <si>
    <t>14.180</t>
  </si>
  <si>
    <t>Pašvaldību parādu procentu maksājumi</t>
  </si>
  <si>
    <t>14.400</t>
  </si>
  <si>
    <t>Izdevumi neparedzētiem gadījumiem</t>
  </si>
  <si>
    <t>14.500</t>
  </si>
  <si>
    <t>Pārējie izdevumi, kas nav klasificēti citās pamatfunkcijās</t>
  </si>
  <si>
    <t>VIII  Norēķini</t>
  </si>
  <si>
    <t>14.321</t>
  </si>
  <si>
    <t>Norēķini ar pašvaldību budžetiem (par citu pašvaldību izglītības iestāžu sniegtajiem pakalpojumiem)</t>
  </si>
  <si>
    <t>IX Budžeta fiskālais deficīts (-) vai pārpalikums(+)                                        (I-VI)</t>
  </si>
  <si>
    <t xml:space="preserve">X Finansēšana </t>
  </si>
  <si>
    <t xml:space="preserve">Iekšējā finansēšana </t>
  </si>
  <si>
    <t>No citiem valsts pārvaldes līmeņiem (Valsts kases)</t>
  </si>
  <si>
    <t>Nosaukums</t>
  </si>
  <si>
    <t>Grozījumi</t>
  </si>
  <si>
    <t xml:space="preserve"> 2005.gada budžets         /Ls/</t>
  </si>
  <si>
    <t xml:space="preserve"> Precizētais 2005.gada budžets           /Ls/</t>
  </si>
  <si>
    <t>18.2.2.9</t>
  </si>
  <si>
    <t>Pārējās mērķdotācijas</t>
  </si>
  <si>
    <t>18.2.4.9</t>
  </si>
  <si>
    <t>Pārējie maksājumi no valsts budžeta iestādēm pašvaldībām</t>
  </si>
  <si>
    <t>18.4.0.0.</t>
  </si>
  <si>
    <t>Maksājumi no citiem budžetiem</t>
  </si>
  <si>
    <t>4.pielikums</t>
  </si>
  <si>
    <t>Daugavpils  pilsētas  pašvaldības 2005.gada  pamatbudžeta                                           finansēšanas  daļas  atšifrējums</t>
  </si>
  <si>
    <t>2005.gada budžets        /Ls/</t>
  </si>
  <si>
    <t>Fiskālais deficīts vai pārpalikums</t>
  </si>
  <si>
    <t>I    Iekšējā finansēšana</t>
  </si>
  <si>
    <t>1.  No citām pārvaldes struktūrām</t>
  </si>
  <si>
    <t>No citiem valsts pārvaldes līmeņiem (Valsts kases)                                                              Aizdevuma atmaksa:</t>
  </si>
  <si>
    <t xml:space="preserve">             Siltumcentrāles rekonstrukcija</t>
  </si>
  <si>
    <t xml:space="preserve">             Ūdensapgāde un kanalizācija</t>
  </si>
  <si>
    <t>2.  Budžeta līdzekļu apjoma izmaiņas</t>
  </si>
  <si>
    <t>Budžeta līdzekļu atlikums gada sākumā, tai skaitā:</t>
  </si>
  <si>
    <t>Naudas līdzekļu atlikumi Valsts Kases Norēķinu centrā</t>
  </si>
  <si>
    <t>Naudas līdzekļu atlikumi Domes norēķinu centrā, tai skaitā:</t>
  </si>
  <si>
    <t>no vispārējiem pašvaldības ieņēmumiem</t>
  </si>
  <si>
    <t>maksas pakalpojumu un citu pašu ieņēmumu naudas līdzekļu atlikumi</t>
  </si>
  <si>
    <t>projektu naudas līdzekļu atlikumi</t>
  </si>
  <si>
    <t>3.  No komercbankām</t>
  </si>
  <si>
    <t xml:space="preserve">   t.sk. aizdevumu atmaksas (komercbankām)</t>
  </si>
  <si>
    <t xml:space="preserve">      A/s Latvijas Unibanka - 1.vidusskolas celtniecība </t>
  </si>
  <si>
    <t xml:space="preserve">      A/s Latvijas Krājbanka -  Infrastruktūras attīstības programma</t>
  </si>
  <si>
    <t xml:space="preserve">      A/s "Parekss banka"  - atpūtas nometnes "Dzintariņš" rekonstrukcijai</t>
  </si>
  <si>
    <t>Precizēts 2005.gada budžets        /Ls/</t>
  </si>
  <si>
    <t xml:space="preserve">Domes priekšsēdētāja                                                                        </t>
  </si>
  <si>
    <t>5.pielikums</t>
  </si>
  <si>
    <t>Daugavpils pilsētas pašvaldības ilgtermiņa saistības (latos)</t>
  </si>
  <si>
    <t>Aizņēmumi</t>
  </si>
  <si>
    <t>Galvojumi</t>
  </si>
  <si>
    <t>Citas saistības</t>
  </si>
  <si>
    <t>Pavisam kopā Daugavpils pilsētas pašvaldības ilgtermiņa saistības</t>
  </si>
  <si>
    <t xml:space="preserve">Gads     </t>
  </si>
  <si>
    <t xml:space="preserve">A/S "Latvijas Unibanka"                                                                          1.vidusskolas celtniecība                                                                         Ls 750 000      </t>
  </si>
  <si>
    <t xml:space="preserve">LR FM VK                                                                         Daugavpils siltumcentrāles rekonstrukcija   Ls 962 000                                                                   </t>
  </si>
  <si>
    <t xml:space="preserve">LR FM VK                                                      Daugavpils ūdensapgāde un kanalizācija  Ls   400 000                                                       </t>
  </si>
  <si>
    <t xml:space="preserve">A/S "LatvijasKrājbanka"         Infrastruktūras objektu sakārtošanas programma   Ls 1 000 000                                                        </t>
  </si>
  <si>
    <t xml:space="preserve">LR FM VK     K/T "Renesance" rekonstrukcija    Ls 150 000    </t>
  </si>
  <si>
    <t xml:space="preserve">A/S "Hansabanka"    Siltumtīklu pamatkapitāla palielināšna                                Ls 2 300 000                                                    </t>
  </si>
  <si>
    <t xml:space="preserve">A/S "Parekss-banka"                                īstermiņa saistību pārkreditēšanai                                                  Ls 3 400 000                 </t>
  </si>
  <si>
    <t xml:space="preserve">Starptautiskās Rekonstrukcijas un Attīstības Banka   Daugavpils izglītības pārvalde, 10.un 15. vidusskolas renovācijas darbi                                              ( reinvestīcijas ) Ls 281 287                                       </t>
  </si>
  <si>
    <t>Kopā aizņēmumi</t>
  </si>
  <si>
    <t xml:space="preserve">LR FM VK                                       Daugavpils ūdensapgāde un kanalizācija  Ls 3 140 780,68                                                        </t>
  </si>
  <si>
    <t xml:space="preserve"> NEFCO                                             Daugavpils ūdensapgāde un kanalizācija                                                                                                                                 EUR 1 574 000,  Ls 882 787                              </t>
  </si>
  <si>
    <t xml:space="preserve">A/S "Hansabanka"   AS "Daugavpils siltumtīkli", parāda saistību A/S "Latvijas Gāze" dzēšana, Ls 2 000 000                                  </t>
  </si>
  <si>
    <t xml:space="preserve">A/S "Parekss - banka"    SIA" Daugavpils dzīvokļu un komunālās saimniecības uzņēmums" bērnu spēļu laukumu labiekārtošana un dzelzceļnieku parka rekonstrukcija, Ls 563 200               </t>
  </si>
  <si>
    <t xml:space="preserve">A/S "Parekss - banka"                       PSIA" Daugavpils ledus halle" , hokeja internātskolas  remonts un iekārtošana,   Ls 200 000                                           </t>
  </si>
  <si>
    <t xml:space="preserve"> A/S "Parekss - banka"                                     SIA" Daugavpils bērnu veselības centrs", bērnu stacionāra un rehabilitācijas centra ierīkošana, renovācija,  Ls 36 800   </t>
  </si>
  <si>
    <t xml:space="preserve">A/S "Parekss - banka"  Daugavpils izglītības pārvalde, atpūtas nometnes "Dzintariņš" rekonstrukcija, Ls 200 000                                                     </t>
  </si>
  <si>
    <t>Kopā  galvojumi</t>
  </si>
  <si>
    <t>Gads</t>
  </si>
  <si>
    <t xml:space="preserve">Pašvaldības budžeta līdzekļi   PSIA "Daugavpils ūdens" , pašvaldības līdzfinansējums Daugavpils ūdenssaimniecības attīstības projektā                                                                       EUR 1 684 146                                            </t>
  </si>
  <si>
    <t xml:space="preserve">Pašvaldības budžeta līdzekļi   SIA" AA DSO", atkritumu apsaimniekošanas projekts                            EUR 411 000                                                                   </t>
  </si>
  <si>
    <t xml:space="preserve">A/S "Preses apvienība"                                    Ēkas Kr.Valdemāra ielā 13, iegāde                                                   Ls 65 000                                                                                      </t>
  </si>
  <si>
    <t xml:space="preserve">SIA "Ditton"                                                            Stadiona "Lokomotīve" I.k. rekonstrukcija     Ls 480 000                                                                        </t>
  </si>
  <si>
    <t xml:space="preserve">SIA "Gādība"                                                                    Stadiona "Lokomotīve" II.k. rekonstrukcija  Ls  295 500                                                                                                                                                </t>
  </si>
  <si>
    <t xml:space="preserve">A/S "Parekss - banka"                       Autobusu iegāde EUR 6 000 000                                                                                                                           </t>
  </si>
  <si>
    <t>Kopā  citas saistības</t>
  </si>
  <si>
    <t>9.2.0.0.</t>
  </si>
  <si>
    <t>Valsts nodevas par licenču izsniegšanu</t>
  </si>
  <si>
    <t>6. pielikums</t>
  </si>
  <si>
    <t>I  Ieņēmumi - kopā</t>
  </si>
  <si>
    <t>Ieņēmumu sadalījums pa speciālā budžeta veidiem</t>
  </si>
  <si>
    <t>Mērķdotācijas regulāriem pasažieru pārvadājumiem</t>
  </si>
  <si>
    <t>Pārējie speciālā budžeta īpašiem mērķiem iezīmētie līdzekļi</t>
  </si>
  <si>
    <t>II  Izdevumi - kopā</t>
  </si>
  <si>
    <t>Izdevumu sadalījums pa speciālā budžeta veidiem</t>
  </si>
  <si>
    <t>III  Izdevumi pēc valdības funkcijām</t>
  </si>
  <si>
    <t>Sociālā apdrošināšana sociālā nodrošināšana</t>
  </si>
  <si>
    <t>Komunālās saimniecības nodaļa, vides aizsardzība</t>
  </si>
  <si>
    <t>IV Budžeta fiskālais deficīts (-) vai pārpalikums (+)        (I-II)</t>
  </si>
  <si>
    <t>V  Finansēšana</t>
  </si>
  <si>
    <t xml:space="preserve">        Budžeta līdzekļu atlikums gada sākumā</t>
  </si>
  <si>
    <t xml:space="preserve">        Budžeta līdzekļu atlikums pārskata perioda beigās</t>
  </si>
  <si>
    <t xml:space="preserve">Domes priekšsēdētāja </t>
  </si>
  <si>
    <t>Daugavpils pilsētas pašvaldības 2005.gada speciālais budžets                                                                        (neieskaitot ziedojumus un dāvinājumus)</t>
  </si>
  <si>
    <t>9. pielikums</t>
  </si>
  <si>
    <t>Saņemti ziedojumi un dāvinājumi - kopā</t>
  </si>
  <si>
    <t>No iekšzemes juridiskām un fiziskām personām</t>
  </si>
  <si>
    <t>No ārvalstu juridiskām un fiziskām personām</t>
  </si>
  <si>
    <t xml:space="preserve">II  Izdevumi pēc valdības funkcijām </t>
  </si>
  <si>
    <t>III  Budžeta fiskālais deficīts (-) vai pārpalikums (+)       (I-II)</t>
  </si>
  <si>
    <t>IV  Finansēšana</t>
  </si>
  <si>
    <t xml:space="preserve">            Domes priekšsēdētāja</t>
  </si>
  <si>
    <t>Daugavpils pilsētas pašvaldības 2005.gada speciālā budžeta                                                                                                                                                                                            ziedojumi un dāvinājumi</t>
  </si>
  <si>
    <t>Pašvaldības speciālā budžeta ieņēmumi                                                                                                                                     (neieskaitot ziedojumus un dāvinājumus)</t>
  </si>
  <si>
    <t>Pašvaldības speciālā budžeta izdevumi                                                                                                             (neieskaitot ziedojumus un dāvinājumus)</t>
  </si>
  <si>
    <t>Dzīvokļu un komunālā saimnicība, vides aizsardzība</t>
  </si>
  <si>
    <t>Saistību apjoms pret pamatbudžeta ieņēmumiem (bez mērķdotācijām)*</t>
  </si>
  <si>
    <t>* ieņēmumi Ls 17 668 094</t>
  </si>
  <si>
    <t>Domes 2005.gada 22 .septembra</t>
  </si>
  <si>
    <t>saistošajiem noteikumiem Nr. 8</t>
  </si>
  <si>
    <t>(protokols Nr.15   34.&amp;)</t>
  </si>
  <si>
    <t>Domes 2005.gada 22.septembra</t>
  </si>
  <si>
    <t>(protokols Nr.15  34.&amp;)</t>
  </si>
  <si>
    <t>Domes 2005.gada 22. septembra</t>
  </si>
  <si>
    <t>Domes 2005.gada  22. septembra</t>
  </si>
  <si>
    <t>(protokols Nr. 15  34. &amp;)</t>
  </si>
  <si>
    <t>(protokols Nr. 15   34.&amp;)</t>
  </si>
  <si>
    <t>(protokols Nr. 15  34.&amp;)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</si>
</sst>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20">
    <font>
      <sz val="9"/>
      <name val="Times New Roman Baltic"/>
      <family val="0"/>
    </font>
    <font>
      <sz val="8"/>
      <name val="Times New Roman Baltic"/>
      <family val="1"/>
    </font>
    <font>
      <b/>
      <sz val="8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sz val="10"/>
      <name val="Times New Roman Baltic"/>
      <family val="1"/>
    </font>
    <font>
      <b/>
      <sz val="9"/>
      <name val="Times New Roman Baltic"/>
      <family val="1"/>
    </font>
    <font>
      <i/>
      <sz val="8"/>
      <name val="Times New Roman Baltic"/>
      <family val="1"/>
    </font>
    <font>
      <sz val="11"/>
      <name val="Times New Roman Baltic"/>
      <family val="1"/>
    </font>
    <font>
      <b/>
      <i/>
      <sz val="8"/>
      <name val="Times New Roman Baltic"/>
      <family val="1"/>
    </font>
    <font>
      <i/>
      <sz val="7"/>
      <name val="Times New Roman Baltic"/>
      <family val="1"/>
    </font>
    <font>
      <b/>
      <sz val="8"/>
      <color indexed="10"/>
      <name val="Times New Roman Baltic"/>
      <family val="1"/>
    </font>
    <font>
      <sz val="7"/>
      <name val="Times New Roman Baltic"/>
      <family val="1"/>
    </font>
    <font>
      <i/>
      <sz val="10"/>
      <name val="Times New Roman Baltic"/>
      <family val="1"/>
    </font>
    <font>
      <b/>
      <sz val="7"/>
      <name val="Times New Roman Baltic"/>
      <family val="1"/>
    </font>
    <font>
      <b/>
      <sz val="9"/>
      <color indexed="10"/>
      <name val="Times New Roman Baltic"/>
      <family val="1"/>
    </font>
    <font>
      <b/>
      <sz val="10"/>
      <color indexed="10"/>
      <name val="Times New Roman Baltic"/>
      <family val="1"/>
    </font>
    <font>
      <sz val="10"/>
      <color indexed="10"/>
      <name val="Times New Roman Balti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1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1" fontId="16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textRotation="45"/>
    </xf>
    <xf numFmtId="1" fontId="1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textRotation="90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 vertical="center" wrapText="1"/>
    </xf>
    <xf numFmtId="3" fontId="17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2" fontId="14" fillId="0" borderId="6" xfId="0" applyNumberFormat="1" applyFont="1" applyBorder="1" applyAlignment="1">
      <alignment horizontal="center" vertical="center" textRotation="90" wrapText="1"/>
    </xf>
    <xf numFmtId="2" fontId="14" fillId="0" borderId="7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wrapText="1"/>
    </xf>
    <xf numFmtId="1" fontId="2" fillId="0" borderId="6" xfId="0" applyNumberFormat="1" applyFont="1" applyBorder="1" applyAlignment="1">
      <alignment horizontal="center" vertical="center" textRotation="90" wrapText="1"/>
    </xf>
    <xf numFmtId="1" fontId="2" fillId="0" borderId="7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J6" sqref="J6"/>
    </sheetView>
  </sheetViews>
  <sheetFormatPr defaultColWidth="9.00390625" defaultRowHeight="12"/>
  <cols>
    <col min="1" max="1" width="4.00390625" style="10" customWidth="1"/>
    <col min="2" max="2" width="5.625" style="10" customWidth="1"/>
    <col min="3" max="3" width="5.375" style="10" customWidth="1"/>
    <col min="4" max="5" width="9.375" style="10" customWidth="1"/>
    <col min="6" max="6" width="11.125" style="10" customWidth="1"/>
    <col min="7" max="7" width="20.125" style="10" customWidth="1"/>
    <col min="8" max="8" width="12.50390625" style="26" customWidth="1"/>
    <col min="9" max="9" width="13.375" style="26" customWidth="1"/>
    <col min="10" max="10" width="14.375" style="26" customWidth="1"/>
    <col min="11" max="16384" width="9.375" style="10" customWidth="1"/>
  </cols>
  <sheetData>
    <row r="1" spans="8:10" s="1" customFormat="1" ht="11.25">
      <c r="H1" s="2"/>
      <c r="I1" s="2" t="s">
        <v>0</v>
      </c>
      <c r="J1" s="2"/>
    </row>
    <row r="2" spans="3:10" s="1" customFormat="1" ht="12.75" customHeight="1">
      <c r="C2" s="3"/>
      <c r="H2" s="4"/>
      <c r="I2" s="4" t="s">
        <v>248</v>
      </c>
      <c r="J2" s="4"/>
    </row>
    <row r="3" spans="8:10" s="1" customFormat="1" ht="11.25">
      <c r="H3" s="4"/>
      <c r="I3" s="4" t="s">
        <v>249</v>
      </c>
      <c r="J3" s="4"/>
    </row>
    <row r="4" spans="2:10" s="1" customFormat="1" ht="11.25">
      <c r="B4" s="3"/>
      <c r="H4" s="4"/>
      <c r="I4" s="4" t="s">
        <v>250</v>
      </c>
      <c r="J4" s="4"/>
    </row>
    <row r="5" spans="2:10" s="1" customFormat="1" ht="11.25">
      <c r="B5" s="3"/>
      <c r="H5" s="5"/>
      <c r="I5" s="5"/>
      <c r="J5" s="5"/>
    </row>
    <row r="6" spans="2:9" s="6" customFormat="1" ht="15.75">
      <c r="B6" s="179" t="s">
        <v>1</v>
      </c>
      <c r="C6" s="179"/>
      <c r="D6" s="179"/>
      <c r="E6" s="179"/>
      <c r="F6" s="179"/>
      <c r="G6" s="179"/>
      <c r="H6" s="179"/>
      <c r="I6" s="179"/>
    </row>
    <row r="7" spans="2:10" s="1" customFormat="1" ht="10.5" customHeight="1">
      <c r="B7" s="3"/>
      <c r="H7" s="5"/>
      <c r="I7" s="5"/>
      <c r="J7" s="5"/>
    </row>
    <row r="8" spans="2:10" s="8" customFormat="1" ht="51.75" customHeight="1">
      <c r="B8" s="176" t="s">
        <v>2</v>
      </c>
      <c r="C8" s="177"/>
      <c r="D8" s="177"/>
      <c r="E8" s="177"/>
      <c r="F8" s="177"/>
      <c r="G8" s="178"/>
      <c r="H8" s="9" t="s">
        <v>153</v>
      </c>
      <c r="I8" s="9" t="s">
        <v>152</v>
      </c>
      <c r="J8" s="9" t="s">
        <v>154</v>
      </c>
    </row>
    <row r="9" spans="8:10" ht="12.75">
      <c r="H9" s="11"/>
      <c r="I9" s="11"/>
      <c r="J9" s="11"/>
    </row>
    <row r="10" spans="2:10" s="12" customFormat="1" ht="12.75">
      <c r="B10" s="13" t="s">
        <v>4</v>
      </c>
      <c r="C10" s="172" t="s">
        <v>5</v>
      </c>
      <c r="D10" s="172"/>
      <c r="E10" s="172"/>
      <c r="F10" s="172"/>
      <c r="G10" s="172"/>
      <c r="H10" s="14">
        <f>H12+H20+H31</f>
        <v>26150568</v>
      </c>
      <c r="I10" s="14">
        <f>I12+I20+I31</f>
        <v>1281595</v>
      </c>
      <c r="J10" s="14">
        <f>J12+J20+J31</f>
        <v>27432163</v>
      </c>
    </row>
    <row r="11" spans="8:10" ht="12.75">
      <c r="H11" s="11"/>
      <c r="I11" s="11"/>
      <c r="J11" s="11"/>
    </row>
    <row r="12" spans="2:10" s="15" customFormat="1" ht="12">
      <c r="B12" s="16" t="s">
        <v>6</v>
      </c>
      <c r="C12" s="175" t="s">
        <v>7</v>
      </c>
      <c r="D12" s="175"/>
      <c r="E12" s="175"/>
      <c r="F12" s="175"/>
      <c r="G12" s="175"/>
      <c r="H12" s="17">
        <f>H14+H16+H18</f>
        <v>25291866</v>
      </c>
      <c r="I12" s="17">
        <f>I14+I16+I18</f>
        <v>1173477</v>
      </c>
      <c r="J12" s="17">
        <f>J14+J16+J18</f>
        <v>26465343</v>
      </c>
    </row>
    <row r="13" spans="8:10" s="1" customFormat="1" ht="11.25">
      <c r="H13" s="5"/>
      <c r="I13" s="5"/>
      <c r="J13" s="5"/>
    </row>
    <row r="14" spans="3:10" s="1" customFormat="1" ht="11.25">
      <c r="C14" s="174" t="s">
        <v>8</v>
      </c>
      <c r="D14" s="174"/>
      <c r="E14" s="174"/>
      <c r="F14" s="174"/>
      <c r="G14" s="174"/>
      <c r="H14" s="5">
        <v>14199071</v>
      </c>
      <c r="I14" s="5">
        <v>309600</v>
      </c>
      <c r="J14" s="5">
        <f>SUM(H14:I14)</f>
        <v>14508671</v>
      </c>
    </row>
    <row r="15" spans="8:10" s="1" customFormat="1" ht="11.25">
      <c r="H15" s="5"/>
      <c r="I15" s="5"/>
      <c r="J15" s="5"/>
    </row>
    <row r="16" spans="3:10" s="1" customFormat="1" ht="11.25">
      <c r="C16" s="174" t="s">
        <v>9</v>
      </c>
      <c r="D16" s="174"/>
      <c r="E16" s="174"/>
      <c r="F16" s="174"/>
      <c r="G16" s="174"/>
      <c r="H16" s="5">
        <v>2272710</v>
      </c>
      <c r="I16" s="5">
        <v>30863</v>
      </c>
      <c r="J16" s="5">
        <f>SUM(H16:I16)</f>
        <v>2303573</v>
      </c>
    </row>
    <row r="17" spans="8:10" s="1" customFormat="1" ht="11.25">
      <c r="H17" s="5"/>
      <c r="I17" s="5"/>
      <c r="J17" s="5"/>
    </row>
    <row r="18" spans="3:10" s="1" customFormat="1" ht="11.25">
      <c r="C18" s="174" t="s">
        <v>10</v>
      </c>
      <c r="D18" s="174"/>
      <c r="E18" s="174"/>
      <c r="F18" s="174"/>
      <c r="G18" s="174"/>
      <c r="H18" s="5">
        <v>8820085</v>
      </c>
      <c r="I18" s="5">
        <v>833014</v>
      </c>
      <c r="J18" s="5">
        <f>SUM(H18:I18)</f>
        <v>9653099</v>
      </c>
    </row>
    <row r="19" spans="8:10" s="1" customFormat="1" ht="11.25">
      <c r="H19" s="5"/>
      <c r="I19" s="5"/>
      <c r="J19" s="5"/>
    </row>
    <row r="20" spans="2:10" s="19" customFormat="1" ht="30" customHeight="1">
      <c r="B20" s="20" t="s">
        <v>11</v>
      </c>
      <c r="C20" s="171" t="s">
        <v>243</v>
      </c>
      <c r="D20" s="171"/>
      <c r="E20" s="171"/>
      <c r="F20" s="171"/>
      <c r="G20" s="171"/>
      <c r="H20" s="21">
        <f>SUM(H22:H30)</f>
        <v>820739</v>
      </c>
      <c r="I20" s="21">
        <f>SUM(I22:I30)</f>
        <v>76951</v>
      </c>
      <c r="J20" s="21">
        <f>SUM(J22:J30)</f>
        <v>897690</v>
      </c>
    </row>
    <row r="21" spans="8:10" s="1" customFormat="1" ht="11.25">
      <c r="H21" s="5"/>
      <c r="I21" s="5"/>
      <c r="J21" s="5"/>
    </row>
    <row r="22" spans="3:10" s="1" customFormat="1" ht="11.25">
      <c r="C22" s="174" t="s">
        <v>12</v>
      </c>
      <c r="D22" s="174"/>
      <c r="E22" s="174"/>
      <c r="F22" s="174"/>
      <c r="G22" s="174"/>
      <c r="H22" s="5">
        <v>69652</v>
      </c>
      <c r="I22" s="5">
        <v>36000</v>
      </c>
      <c r="J22" s="5">
        <f>SUM(H22:I22)</f>
        <v>105652</v>
      </c>
    </row>
    <row r="23" spans="8:10" s="1" customFormat="1" ht="11.25">
      <c r="H23" s="5"/>
      <c r="I23" s="5"/>
      <c r="J23" s="5"/>
    </row>
    <row r="24" spans="3:10" s="1" customFormat="1" ht="11.25">
      <c r="C24" s="174" t="s">
        <v>13</v>
      </c>
      <c r="D24" s="174"/>
      <c r="E24" s="174"/>
      <c r="F24" s="174"/>
      <c r="G24" s="174"/>
      <c r="H24" s="5">
        <v>20000</v>
      </c>
      <c r="I24" s="5"/>
      <c r="J24" s="5">
        <f>SUM(H24:I24)</f>
        <v>20000</v>
      </c>
    </row>
    <row r="25" spans="8:10" s="1" customFormat="1" ht="11.25">
      <c r="H25" s="5"/>
      <c r="I25" s="5"/>
      <c r="J25" s="5"/>
    </row>
    <row r="26" spans="3:10" s="1" customFormat="1" ht="11.25">
      <c r="C26" s="174" t="s">
        <v>14</v>
      </c>
      <c r="D26" s="174"/>
      <c r="E26" s="174"/>
      <c r="F26" s="174"/>
      <c r="G26" s="174"/>
      <c r="H26" s="5">
        <v>660396</v>
      </c>
      <c r="I26" s="5">
        <v>40951</v>
      </c>
      <c r="J26" s="5">
        <f>SUM(H26:I26)</f>
        <v>701347</v>
      </c>
    </row>
    <row r="27" spans="8:10" s="1" customFormat="1" ht="11.25">
      <c r="H27" s="5"/>
      <c r="I27" s="5"/>
      <c r="J27" s="5"/>
    </row>
    <row r="28" spans="3:10" s="1" customFormat="1" ht="11.25">
      <c r="C28" s="1" t="s">
        <v>15</v>
      </c>
      <c r="H28" s="5">
        <v>70691</v>
      </c>
      <c r="I28" s="5"/>
      <c r="J28" s="5">
        <f>SUM(H28:I28)</f>
        <v>70691</v>
      </c>
    </row>
    <row r="29" spans="8:10" s="1" customFormat="1" ht="11.25">
      <c r="H29" s="5"/>
      <c r="I29" s="5"/>
      <c r="J29" s="5"/>
    </row>
    <row r="30" spans="8:10" s="1" customFormat="1" ht="11.25">
      <c r="H30" s="5"/>
      <c r="I30" s="5"/>
      <c r="J30" s="5"/>
    </row>
    <row r="31" spans="2:10" s="15" customFormat="1" ht="12">
      <c r="B31" s="16" t="s">
        <v>16</v>
      </c>
      <c r="C31" s="15" t="s">
        <v>17</v>
      </c>
      <c r="H31" s="17">
        <v>37963</v>
      </c>
      <c r="I31" s="17">
        <v>31167</v>
      </c>
      <c r="J31" s="17">
        <f>SUM(H31:I31)</f>
        <v>69130</v>
      </c>
    </row>
    <row r="32" spans="8:10" s="22" customFormat="1" ht="12">
      <c r="H32" s="23"/>
      <c r="I32" s="23"/>
      <c r="J32" s="23"/>
    </row>
    <row r="33" spans="2:10" s="12" customFormat="1" ht="24" customHeight="1">
      <c r="B33" s="13" t="s">
        <v>18</v>
      </c>
      <c r="C33" s="12" t="s">
        <v>19</v>
      </c>
      <c r="H33" s="14">
        <f>H35+H37+H39</f>
        <v>25085071</v>
      </c>
      <c r="I33" s="149">
        <f>I35+I37+I39</f>
        <v>1281595</v>
      </c>
      <c r="J33" s="14">
        <f>J35+J37+J39</f>
        <v>26366666</v>
      </c>
    </row>
    <row r="34" spans="8:10" ht="12.75">
      <c r="H34" s="11"/>
      <c r="I34" s="150"/>
      <c r="J34" s="11"/>
    </row>
    <row r="35" spans="2:10" s="15" customFormat="1" ht="12">
      <c r="B35" s="16" t="s">
        <v>20</v>
      </c>
      <c r="C35" s="175" t="s">
        <v>21</v>
      </c>
      <c r="D35" s="175"/>
      <c r="E35" s="175"/>
      <c r="F35" s="175"/>
      <c r="G35" s="175"/>
      <c r="H35" s="17">
        <v>24185323</v>
      </c>
      <c r="I35" s="151">
        <v>1173477</v>
      </c>
      <c r="J35" s="17">
        <f>SUM(H35:I35)</f>
        <v>25358800</v>
      </c>
    </row>
    <row r="36" spans="8:10" ht="12.75">
      <c r="H36" s="11"/>
      <c r="I36" s="150"/>
      <c r="J36" s="11"/>
    </row>
    <row r="37" spans="2:10" s="19" customFormat="1" ht="26.25" customHeight="1">
      <c r="B37" s="20" t="s">
        <v>22</v>
      </c>
      <c r="C37" s="171" t="s">
        <v>244</v>
      </c>
      <c r="D37" s="171"/>
      <c r="E37" s="171"/>
      <c r="F37" s="171"/>
      <c r="G37" s="171"/>
      <c r="H37" s="21">
        <v>849162</v>
      </c>
      <c r="I37" s="152">
        <v>76951</v>
      </c>
      <c r="J37" s="21">
        <f>SUM(H37:I37)</f>
        <v>926113</v>
      </c>
    </row>
    <row r="38" spans="8:10" ht="12.75">
      <c r="H38" s="11"/>
      <c r="I38" s="150"/>
      <c r="J38" s="11"/>
    </row>
    <row r="39" spans="2:10" s="15" customFormat="1" ht="12">
      <c r="B39" s="16" t="s">
        <v>23</v>
      </c>
      <c r="C39" s="15" t="s">
        <v>24</v>
      </c>
      <c r="H39" s="17">
        <v>50586</v>
      </c>
      <c r="I39" s="151">
        <v>31167</v>
      </c>
      <c r="J39" s="17">
        <f>SUM(H39:I39)</f>
        <v>81753</v>
      </c>
    </row>
    <row r="40" spans="8:10" ht="12.75">
      <c r="H40" s="11"/>
      <c r="I40" s="150"/>
      <c r="J40" s="11"/>
    </row>
    <row r="41" spans="2:10" s="12" customFormat="1" ht="18.75" customHeight="1">
      <c r="B41" s="13" t="s">
        <v>25</v>
      </c>
      <c r="C41" s="12" t="s">
        <v>26</v>
      </c>
      <c r="H41" s="14">
        <f>H10-H33</f>
        <v>1065497</v>
      </c>
      <c r="I41" s="149">
        <f>I10-I33</f>
        <v>0</v>
      </c>
      <c r="J41" s="14">
        <f>J10-J33</f>
        <v>1065497</v>
      </c>
    </row>
    <row r="42" spans="8:10" ht="12.75">
      <c r="H42" s="11"/>
      <c r="I42" s="11"/>
      <c r="J42" s="11"/>
    </row>
    <row r="43" spans="2:10" s="12" customFormat="1" ht="19.5" customHeight="1">
      <c r="B43" s="13" t="s">
        <v>27</v>
      </c>
      <c r="C43" s="172" t="s">
        <v>28</v>
      </c>
      <c r="D43" s="172"/>
      <c r="E43" s="172"/>
      <c r="F43" s="172"/>
      <c r="G43" s="172"/>
      <c r="H43" s="14">
        <f>H45+H47+H51</f>
        <v>28547</v>
      </c>
      <c r="I43" s="14">
        <f>I45+I47+I51</f>
        <v>0</v>
      </c>
      <c r="J43" s="14">
        <f>J45+J47+J51</f>
        <v>28547</v>
      </c>
    </row>
    <row r="44" spans="3:10" s="1" customFormat="1" ht="15" customHeight="1">
      <c r="C44" s="1" t="s">
        <v>29</v>
      </c>
      <c r="H44" s="5">
        <f>H43</f>
        <v>28547</v>
      </c>
      <c r="I44" s="5">
        <f>I43</f>
        <v>0</v>
      </c>
      <c r="J44" s="5">
        <f>J43</f>
        <v>28547</v>
      </c>
    </row>
    <row r="45" spans="3:10" s="1" customFormat="1" ht="25.5" customHeight="1">
      <c r="C45" s="1" t="s">
        <v>30</v>
      </c>
      <c r="H45" s="5">
        <v>-269200</v>
      </c>
      <c r="I45" s="5"/>
      <c r="J45" s="5">
        <f>SUM(H45:I45)</f>
        <v>-269200</v>
      </c>
    </row>
    <row r="46" spans="8:10" s="1" customFormat="1" ht="7.5" customHeight="1">
      <c r="H46" s="5"/>
      <c r="I46" s="5"/>
      <c r="J46" s="5"/>
    </row>
    <row r="47" spans="3:10" s="1" customFormat="1" ht="11.25">
      <c r="C47" s="1" t="s">
        <v>31</v>
      </c>
      <c r="H47" s="5">
        <f>H48-H49</f>
        <v>486255</v>
      </c>
      <c r="I47" s="5">
        <f>I48-I49</f>
        <v>0</v>
      </c>
      <c r="J47" s="5">
        <f>J48-J49</f>
        <v>486255</v>
      </c>
    </row>
    <row r="48" spans="4:10" s="24" customFormat="1" ht="11.25">
      <c r="D48" s="173" t="s">
        <v>32</v>
      </c>
      <c r="E48" s="173"/>
      <c r="F48" s="173"/>
      <c r="G48" s="173"/>
      <c r="H48" s="25">
        <v>486255</v>
      </c>
      <c r="I48" s="25"/>
      <c r="J48" s="25">
        <f>SUM(H48:I48)</f>
        <v>486255</v>
      </c>
    </row>
    <row r="49" spans="4:10" s="24" customFormat="1" ht="11.25">
      <c r="D49" s="173" t="s">
        <v>33</v>
      </c>
      <c r="E49" s="173"/>
      <c r="F49" s="173"/>
      <c r="G49" s="173"/>
      <c r="H49" s="25">
        <v>0</v>
      </c>
      <c r="I49" s="25"/>
      <c r="J49" s="25">
        <v>0</v>
      </c>
    </row>
    <row r="50" spans="8:10" s="1" customFormat="1" ht="7.5" customHeight="1">
      <c r="H50" s="5"/>
      <c r="I50" s="5"/>
      <c r="J50" s="5"/>
    </row>
    <row r="51" spans="3:10" s="1" customFormat="1" ht="11.25">
      <c r="C51" s="1" t="s">
        <v>34</v>
      </c>
      <c r="H51" s="5">
        <v>-188508</v>
      </c>
      <c r="I51" s="5"/>
      <c r="J51" s="5">
        <f>SUM(H51:I51)</f>
        <v>-188508</v>
      </c>
    </row>
    <row r="55" spans="2:9" ht="12.75">
      <c r="B55" s="10" t="s">
        <v>35</v>
      </c>
      <c r="I55" s="26" t="s">
        <v>36</v>
      </c>
    </row>
  </sheetData>
  <mergeCells count="16">
    <mergeCell ref="B8:G8"/>
    <mergeCell ref="C10:G10"/>
    <mergeCell ref="C12:G12"/>
    <mergeCell ref="B6:I6"/>
    <mergeCell ref="C14:G14"/>
    <mergeCell ref="C16:G16"/>
    <mergeCell ref="C18:G18"/>
    <mergeCell ref="C20:G20"/>
    <mergeCell ref="C22:G22"/>
    <mergeCell ref="C24:G24"/>
    <mergeCell ref="C26:G26"/>
    <mergeCell ref="C35:G35"/>
    <mergeCell ref="C37:G37"/>
    <mergeCell ref="C43:G43"/>
    <mergeCell ref="D48:G48"/>
    <mergeCell ref="D49:G49"/>
  </mergeCells>
  <printOptions/>
  <pageMargins left="0.75" right="0.53" top="0.46" bottom="0.53" header="0.23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27"/>
  <sheetViews>
    <sheetView workbookViewId="0" topLeftCell="A28">
      <selection activeCell="I5" sqref="I5"/>
    </sheetView>
  </sheetViews>
  <sheetFormatPr defaultColWidth="9.00390625" defaultRowHeight="12"/>
  <cols>
    <col min="1" max="1" width="2.125" style="1" customWidth="1"/>
    <col min="2" max="2" width="13.00390625" style="1" customWidth="1"/>
    <col min="3" max="3" width="4.50390625" style="1" customWidth="1"/>
    <col min="4" max="6" width="9.375" style="1" customWidth="1"/>
    <col min="7" max="7" width="25.625" style="1" customWidth="1"/>
    <col min="8" max="10" width="14.00390625" style="5" customWidth="1"/>
    <col min="11" max="16384" width="9.375" style="1" customWidth="1"/>
  </cols>
  <sheetData>
    <row r="1" spans="8:10" ht="11.25">
      <c r="H1" s="27"/>
      <c r="I1" s="27" t="s">
        <v>37</v>
      </c>
      <c r="J1" s="27"/>
    </row>
    <row r="2" spans="3:10" ht="12.75" customHeight="1">
      <c r="C2" s="3"/>
      <c r="H2" s="18"/>
      <c r="I2" s="18" t="s">
        <v>251</v>
      </c>
      <c r="J2" s="18"/>
    </row>
    <row r="3" spans="8:10" ht="11.25">
      <c r="H3" s="18"/>
      <c r="I3" s="18" t="s">
        <v>249</v>
      </c>
      <c r="J3" s="18"/>
    </row>
    <row r="4" spans="2:10" ht="11.25">
      <c r="B4" s="3"/>
      <c r="H4" s="18"/>
      <c r="I4" s="18" t="s">
        <v>252</v>
      </c>
      <c r="J4" s="18"/>
    </row>
    <row r="5" spans="2:10" ht="11.25">
      <c r="B5" s="3"/>
      <c r="H5" s="28"/>
      <c r="I5" s="28"/>
      <c r="J5" s="28"/>
    </row>
    <row r="6" spans="2:10" ht="11.25">
      <c r="B6" s="3"/>
      <c r="H6" s="28"/>
      <c r="I6" s="28"/>
      <c r="J6" s="28"/>
    </row>
    <row r="7" spans="2:8" s="6" customFormat="1" ht="15.75">
      <c r="B7" s="179" t="s">
        <v>38</v>
      </c>
      <c r="C7" s="179"/>
      <c r="D7" s="179"/>
      <c r="E7" s="179"/>
      <c r="F7" s="179"/>
      <c r="G7" s="179"/>
      <c r="H7" s="179"/>
    </row>
    <row r="8" spans="2:10" s="6" customFormat="1" ht="15.75">
      <c r="B8" s="7"/>
      <c r="C8" s="7"/>
      <c r="D8" s="7"/>
      <c r="E8" s="7"/>
      <c r="F8" s="7"/>
      <c r="G8" s="7"/>
      <c r="H8" s="7"/>
      <c r="I8" s="7"/>
      <c r="J8" s="7"/>
    </row>
    <row r="9" ht="10.5" customHeight="1">
      <c r="B9" s="3"/>
    </row>
    <row r="10" spans="2:10" s="8" customFormat="1" ht="54.75" customHeight="1">
      <c r="B10" s="29" t="s">
        <v>39</v>
      </c>
      <c r="C10" s="161" t="s">
        <v>2</v>
      </c>
      <c r="D10" s="161"/>
      <c r="E10" s="161"/>
      <c r="F10" s="161"/>
      <c r="G10" s="161"/>
      <c r="H10" s="9" t="s">
        <v>3</v>
      </c>
      <c r="I10" s="9" t="s">
        <v>152</v>
      </c>
      <c r="J10" s="9" t="s">
        <v>154</v>
      </c>
    </row>
    <row r="11" spans="2:10" s="30" customFormat="1" ht="16.5" customHeight="1">
      <c r="B11" s="31"/>
      <c r="C11" s="166" t="s">
        <v>40</v>
      </c>
      <c r="D11" s="166"/>
      <c r="E11" s="166"/>
      <c r="F11" s="166"/>
      <c r="G11" s="166"/>
      <c r="H11" s="33">
        <f>H12+H43</f>
        <v>25291866</v>
      </c>
      <c r="I11" s="33">
        <f>I12+I43</f>
        <v>1173477</v>
      </c>
      <c r="J11" s="33">
        <f>J12+J43</f>
        <v>26465343</v>
      </c>
    </row>
    <row r="12" spans="2:10" s="34" customFormat="1" ht="12" customHeight="1">
      <c r="B12" s="36"/>
      <c r="C12" s="163" t="s">
        <v>41</v>
      </c>
      <c r="D12" s="163"/>
      <c r="E12" s="163"/>
      <c r="F12" s="163"/>
      <c r="G12" s="163"/>
      <c r="H12" s="37">
        <f>H13+H27</f>
        <v>16471781</v>
      </c>
      <c r="I12" s="37">
        <f>I13+I27</f>
        <v>340463</v>
      </c>
      <c r="J12" s="37">
        <f>J13+J27</f>
        <v>16812244</v>
      </c>
    </row>
    <row r="13" spans="2:10" s="34" customFormat="1" ht="12" customHeight="1">
      <c r="B13" s="36"/>
      <c r="C13" s="163" t="s">
        <v>42</v>
      </c>
      <c r="D13" s="163"/>
      <c r="E13" s="163"/>
      <c r="F13" s="163"/>
      <c r="G13" s="163"/>
      <c r="H13" s="154">
        <f>H14+H25</f>
        <v>14199071</v>
      </c>
      <c r="I13" s="154">
        <f>I14+I25</f>
        <v>309600</v>
      </c>
      <c r="J13" s="154">
        <f>J14+J25</f>
        <v>14508671</v>
      </c>
    </row>
    <row r="14" spans="3:10" s="34" customFormat="1" ht="12" customHeight="1">
      <c r="C14" s="158" t="s">
        <v>43</v>
      </c>
      <c r="D14" s="158"/>
      <c r="E14" s="158"/>
      <c r="F14" s="158"/>
      <c r="G14" s="158"/>
      <c r="H14" s="39">
        <f>H15+H18</f>
        <v>14102071</v>
      </c>
      <c r="I14" s="39">
        <f>I15+I18</f>
        <v>309600</v>
      </c>
      <c r="J14" s="39">
        <f>J15+J18</f>
        <v>14411671</v>
      </c>
    </row>
    <row r="15" spans="2:10" s="34" customFormat="1" ht="11.25">
      <c r="B15" s="40" t="s">
        <v>44</v>
      </c>
      <c r="C15" s="184" t="s">
        <v>45</v>
      </c>
      <c r="D15" s="184"/>
      <c r="E15" s="184"/>
      <c r="F15" s="184"/>
      <c r="G15" s="184"/>
      <c r="H15" s="41">
        <f>H16+H17</f>
        <v>12913394</v>
      </c>
      <c r="I15" s="41">
        <f>I16+I17</f>
        <v>308600</v>
      </c>
      <c r="J15" s="41">
        <f>J16+J17</f>
        <v>13221994</v>
      </c>
    </row>
    <row r="16" spans="2:10" s="34" customFormat="1" ht="11.25" customHeight="1">
      <c r="B16" s="40"/>
      <c r="C16" s="164" t="s">
        <v>45</v>
      </c>
      <c r="D16" s="164"/>
      <c r="E16" s="164"/>
      <c r="F16" s="164"/>
      <c r="G16" s="164"/>
      <c r="H16" s="43">
        <v>12693102</v>
      </c>
      <c r="I16" s="43">
        <v>308600</v>
      </c>
      <c r="J16" s="43">
        <f>SUM(H16:I16)</f>
        <v>13001702</v>
      </c>
    </row>
    <row r="17" spans="2:10" s="34" customFormat="1" ht="11.25" customHeight="1">
      <c r="B17" s="40"/>
      <c r="C17" s="164" t="s">
        <v>46</v>
      </c>
      <c r="D17" s="164"/>
      <c r="E17" s="164"/>
      <c r="F17" s="164"/>
      <c r="G17" s="164"/>
      <c r="H17" s="43">
        <v>220292</v>
      </c>
      <c r="I17" s="43"/>
      <c r="J17" s="43">
        <f>SUM(H17:I17)</f>
        <v>220292</v>
      </c>
    </row>
    <row r="18" spans="2:10" s="34" customFormat="1" ht="11.25">
      <c r="B18" s="40" t="s">
        <v>47</v>
      </c>
      <c r="C18" s="184" t="s">
        <v>48</v>
      </c>
      <c r="D18" s="184"/>
      <c r="E18" s="184"/>
      <c r="F18" s="184"/>
      <c r="G18" s="184"/>
      <c r="H18" s="44">
        <f>H19+H24</f>
        <v>1188677</v>
      </c>
      <c r="I18" s="44">
        <f>I19+I24</f>
        <v>1000</v>
      </c>
      <c r="J18" s="44">
        <f>J19+J24</f>
        <v>1189677</v>
      </c>
    </row>
    <row r="19" spans="2:10" s="34" customFormat="1" ht="11.25">
      <c r="B19" s="34" t="s">
        <v>49</v>
      </c>
      <c r="C19" s="183" t="s">
        <v>50</v>
      </c>
      <c r="D19" s="183"/>
      <c r="E19" s="183"/>
      <c r="F19" s="183"/>
      <c r="G19" s="183"/>
      <c r="H19" s="41">
        <f>SUM(H20:H23)</f>
        <v>1188177</v>
      </c>
      <c r="I19" s="41">
        <f>SUM(I20:I23)</f>
        <v>1000</v>
      </c>
      <c r="J19" s="41">
        <f>SUM(J20:J23)</f>
        <v>1189177</v>
      </c>
    </row>
    <row r="20" spans="2:10" s="34" customFormat="1" ht="11.25">
      <c r="B20" s="45" t="s">
        <v>51</v>
      </c>
      <c r="C20" s="182" t="s">
        <v>52</v>
      </c>
      <c r="D20" s="182"/>
      <c r="E20" s="182"/>
      <c r="F20" s="182"/>
      <c r="G20" s="182"/>
      <c r="H20" s="46">
        <v>466846</v>
      </c>
      <c r="I20" s="46"/>
      <c r="J20" s="46">
        <f>SUM(H20:I20)</f>
        <v>466846</v>
      </c>
    </row>
    <row r="21" spans="2:10" s="34" customFormat="1" ht="11.25">
      <c r="B21" s="45" t="s">
        <v>53</v>
      </c>
      <c r="C21" s="182" t="s">
        <v>54</v>
      </c>
      <c r="D21" s="182"/>
      <c r="E21" s="182"/>
      <c r="F21" s="182"/>
      <c r="G21" s="182"/>
      <c r="H21" s="46">
        <v>34200</v>
      </c>
      <c r="I21" s="46">
        <v>1000</v>
      </c>
      <c r="J21" s="46">
        <f>SUM(H21:I21)</f>
        <v>35200</v>
      </c>
    </row>
    <row r="22" spans="2:10" s="34" customFormat="1" ht="11.25">
      <c r="B22" s="45" t="s">
        <v>55</v>
      </c>
      <c r="C22" s="182" t="s">
        <v>56</v>
      </c>
      <c r="D22" s="182"/>
      <c r="E22" s="182"/>
      <c r="F22" s="182"/>
      <c r="G22" s="182"/>
      <c r="H22" s="46">
        <v>676531</v>
      </c>
      <c r="I22" s="46"/>
      <c r="J22" s="46">
        <f>SUM(H22:I22)</f>
        <v>676531</v>
      </c>
    </row>
    <row r="23" spans="2:10" s="34" customFormat="1" ht="11.25">
      <c r="B23" s="45" t="s">
        <v>57</v>
      </c>
      <c r="C23" s="182" t="s">
        <v>58</v>
      </c>
      <c r="D23" s="182"/>
      <c r="E23" s="182"/>
      <c r="F23" s="182"/>
      <c r="G23" s="182"/>
      <c r="H23" s="46">
        <v>10600</v>
      </c>
      <c r="I23" s="46"/>
      <c r="J23" s="46">
        <f>SUM(H23:I23)</f>
        <v>10600</v>
      </c>
    </row>
    <row r="24" spans="2:10" s="34" customFormat="1" ht="11.25">
      <c r="B24" s="34" t="s">
        <v>59</v>
      </c>
      <c r="C24" s="183" t="s">
        <v>60</v>
      </c>
      <c r="D24" s="183"/>
      <c r="E24" s="183"/>
      <c r="F24" s="183"/>
      <c r="G24" s="183"/>
      <c r="H24" s="41">
        <v>500</v>
      </c>
      <c r="I24" s="41"/>
      <c r="J24" s="41">
        <f>SUM(H24:I24)</f>
        <v>500</v>
      </c>
    </row>
    <row r="25" spans="3:10" s="34" customFormat="1" ht="12">
      <c r="C25" s="158" t="s">
        <v>61</v>
      </c>
      <c r="D25" s="158"/>
      <c r="E25" s="158"/>
      <c r="F25" s="158"/>
      <c r="G25" s="158"/>
      <c r="H25" s="44">
        <f>H26</f>
        <v>97000</v>
      </c>
      <c r="I25" s="44">
        <f>I26</f>
        <v>0</v>
      </c>
      <c r="J25" s="44">
        <f>J26</f>
        <v>97000</v>
      </c>
    </row>
    <row r="26" spans="2:10" s="34" customFormat="1" ht="11.25">
      <c r="B26" s="40" t="s">
        <v>62</v>
      </c>
      <c r="C26" s="184" t="s">
        <v>63</v>
      </c>
      <c r="D26" s="184"/>
      <c r="E26" s="184"/>
      <c r="F26" s="184"/>
      <c r="G26" s="184"/>
      <c r="H26" s="41">
        <v>97000</v>
      </c>
      <c r="I26" s="41"/>
      <c r="J26" s="41">
        <f>SUM(H26:I26)</f>
        <v>97000</v>
      </c>
    </row>
    <row r="27" spans="3:14" s="47" customFormat="1" ht="19.5" customHeight="1">
      <c r="C27" s="158" t="s">
        <v>64</v>
      </c>
      <c r="D27" s="158"/>
      <c r="E27" s="158"/>
      <c r="F27" s="158"/>
      <c r="G27" s="158"/>
      <c r="H27" s="153">
        <f>H28+H29+H40+H41+H42</f>
        <v>2272710</v>
      </c>
      <c r="I27" s="153">
        <f>I28+I29+I40+I41+I42</f>
        <v>30863</v>
      </c>
      <c r="J27" s="153">
        <f>J28+J29+J40+J41+J42</f>
        <v>2303573</v>
      </c>
      <c r="K27" s="40"/>
      <c r="L27" s="40"/>
      <c r="M27" s="40"/>
      <c r="N27" s="40"/>
    </row>
    <row r="28" spans="2:10" s="40" customFormat="1" ht="10.5">
      <c r="B28" s="40" t="s">
        <v>65</v>
      </c>
      <c r="C28" s="184" t="s">
        <v>66</v>
      </c>
      <c r="D28" s="184"/>
      <c r="E28" s="184"/>
      <c r="F28" s="184"/>
      <c r="G28" s="184"/>
      <c r="H28" s="49">
        <v>19165</v>
      </c>
      <c r="I28" s="49"/>
      <c r="J28" s="49">
        <f>SUM(H28:I28)</f>
        <v>19165</v>
      </c>
    </row>
    <row r="29" spans="2:10" s="34" customFormat="1" ht="23.25" customHeight="1">
      <c r="B29" s="50" t="s">
        <v>67</v>
      </c>
      <c r="C29" s="181" t="s">
        <v>68</v>
      </c>
      <c r="D29" s="181"/>
      <c r="E29" s="181"/>
      <c r="F29" s="181"/>
      <c r="G29" s="181"/>
      <c r="H29" s="52">
        <f>H30+H32+H33+H39+H31</f>
        <v>1584133</v>
      </c>
      <c r="I29" s="52">
        <f>I30+I32+I33+I39+I31</f>
        <v>24795</v>
      </c>
      <c r="J29" s="52">
        <f>J30+J32+J33+J39+J31</f>
        <v>1608928</v>
      </c>
    </row>
    <row r="30" spans="2:10" s="34" customFormat="1" ht="12.75" customHeight="1">
      <c r="B30" s="53" t="s">
        <v>69</v>
      </c>
      <c r="C30" s="159" t="s">
        <v>70</v>
      </c>
      <c r="D30" s="159"/>
      <c r="E30" s="159"/>
      <c r="F30" s="159"/>
      <c r="G30" s="159"/>
      <c r="H30" s="41">
        <v>4000</v>
      </c>
      <c r="I30" s="41"/>
      <c r="J30" s="41">
        <f>SUM(H30:I30)</f>
        <v>4000</v>
      </c>
    </row>
    <row r="31" spans="2:10" s="34" customFormat="1" ht="12.75" customHeight="1">
      <c r="B31" s="53" t="s">
        <v>216</v>
      </c>
      <c r="C31" s="159" t="s">
        <v>217</v>
      </c>
      <c r="D31" s="159"/>
      <c r="E31" s="159"/>
      <c r="F31" s="159"/>
      <c r="G31" s="159"/>
      <c r="H31" s="41">
        <v>2100</v>
      </c>
      <c r="I31" s="41">
        <v>1000</v>
      </c>
      <c r="J31" s="41">
        <f>SUM(H31:I31)</f>
        <v>3100</v>
      </c>
    </row>
    <row r="32" spans="2:10" s="34" customFormat="1" ht="12.75" customHeight="1">
      <c r="B32" s="53" t="s">
        <v>71</v>
      </c>
      <c r="C32" s="159" t="s">
        <v>72</v>
      </c>
      <c r="D32" s="159"/>
      <c r="E32" s="159"/>
      <c r="F32" s="159"/>
      <c r="G32" s="159"/>
      <c r="H32" s="41">
        <v>92211</v>
      </c>
      <c r="I32" s="41">
        <v>4900</v>
      </c>
      <c r="J32" s="41">
        <f>SUM(H32:I32)</f>
        <v>97111</v>
      </c>
    </row>
    <row r="33" spans="2:10" s="54" customFormat="1" ht="22.5" customHeight="1">
      <c r="B33" s="53" t="s">
        <v>73</v>
      </c>
      <c r="C33" s="159" t="s">
        <v>74</v>
      </c>
      <c r="D33" s="159"/>
      <c r="E33" s="159"/>
      <c r="F33" s="159"/>
      <c r="G33" s="159"/>
      <c r="H33" s="55">
        <v>1442622</v>
      </c>
      <c r="I33" s="55">
        <f>-4712+2000+300+750+900+1357+18300</f>
        <v>18895</v>
      </c>
      <c r="J33" s="55">
        <f>SUM(H33:I33)</f>
        <v>1461517</v>
      </c>
    </row>
    <row r="34" spans="2:10" s="34" customFormat="1" ht="0.75" customHeight="1" hidden="1">
      <c r="B34" s="56" t="s">
        <v>75</v>
      </c>
      <c r="C34" s="164" t="s">
        <v>76</v>
      </c>
      <c r="D34" s="164"/>
      <c r="E34" s="164"/>
      <c r="F34" s="164"/>
      <c r="G34" s="164"/>
      <c r="H34" s="41"/>
      <c r="I34" s="41"/>
      <c r="J34" s="41"/>
    </row>
    <row r="35" spans="2:10" s="34" customFormat="1" ht="19.5" customHeight="1" hidden="1">
      <c r="B35" s="57" t="s">
        <v>77</v>
      </c>
      <c r="C35" s="180" t="s">
        <v>78</v>
      </c>
      <c r="D35" s="180"/>
      <c r="E35" s="180"/>
      <c r="F35" s="180"/>
      <c r="G35" s="180"/>
      <c r="H35" s="41"/>
      <c r="I35" s="41"/>
      <c r="J35" s="41"/>
    </row>
    <row r="36" spans="2:10" s="34" customFormat="1" ht="12.75" customHeight="1" hidden="1">
      <c r="B36" s="56" t="s">
        <v>79</v>
      </c>
      <c r="C36" s="164" t="s">
        <v>80</v>
      </c>
      <c r="D36" s="164"/>
      <c r="E36" s="164"/>
      <c r="F36" s="164"/>
      <c r="G36" s="164"/>
      <c r="H36" s="41"/>
      <c r="I36" s="41"/>
      <c r="J36" s="41"/>
    </row>
    <row r="37" spans="2:10" s="34" customFormat="1" ht="12.75" customHeight="1" hidden="1">
      <c r="B37" s="57" t="s">
        <v>81</v>
      </c>
      <c r="C37" s="180" t="s">
        <v>82</v>
      </c>
      <c r="D37" s="180"/>
      <c r="E37" s="180"/>
      <c r="F37" s="180"/>
      <c r="G37" s="180"/>
      <c r="H37" s="41"/>
      <c r="I37" s="41"/>
      <c r="J37" s="41"/>
    </row>
    <row r="38" spans="2:10" s="34" customFormat="1" ht="12.75" customHeight="1" hidden="1">
      <c r="B38" s="56" t="s">
        <v>83</v>
      </c>
      <c r="C38" s="165" t="s">
        <v>84</v>
      </c>
      <c r="D38" s="165"/>
      <c r="E38" s="165"/>
      <c r="F38" s="165"/>
      <c r="G38" s="165"/>
      <c r="H38" s="41"/>
      <c r="I38" s="41"/>
      <c r="J38" s="41"/>
    </row>
    <row r="39" spans="2:10" s="34" customFormat="1" ht="11.25">
      <c r="B39" s="58" t="s">
        <v>85</v>
      </c>
      <c r="C39" s="183" t="s">
        <v>86</v>
      </c>
      <c r="D39" s="183"/>
      <c r="E39" s="183"/>
      <c r="F39" s="183"/>
      <c r="G39" s="183"/>
      <c r="H39" s="41">
        <f>3200+40000</f>
        <v>43200</v>
      </c>
      <c r="I39" s="41"/>
      <c r="J39" s="41">
        <f>SUM(H39:I39)</f>
        <v>43200</v>
      </c>
    </row>
    <row r="40" spans="2:10" s="40" customFormat="1" ht="10.5">
      <c r="B40" s="40" t="s">
        <v>87</v>
      </c>
      <c r="C40" s="184" t="s">
        <v>88</v>
      </c>
      <c r="D40" s="184"/>
      <c r="E40" s="184"/>
      <c r="F40" s="184"/>
      <c r="G40" s="184"/>
      <c r="H40" s="44">
        <v>29600</v>
      </c>
      <c r="I40" s="44">
        <v>1400</v>
      </c>
      <c r="J40" s="44">
        <f>SUM(H40:I40)</f>
        <v>31000</v>
      </c>
    </row>
    <row r="41" spans="2:10" s="40" customFormat="1" ht="11.25" customHeight="1">
      <c r="B41" s="40" t="s">
        <v>89</v>
      </c>
      <c r="C41" s="184" t="s">
        <v>90</v>
      </c>
      <c r="D41" s="184"/>
      <c r="E41" s="184"/>
      <c r="F41" s="184"/>
      <c r="G41" s="184"/>
      <c r="H41" s="44">
        <v>65076</v>
      </c>
      <c r="I41" s="44">
        <f>288+3318</f>
        <v>3606</v>
      </c>
      <c r="J41" s="44">
        <f>SUM(H41:I41)</f>
        <v>68682</v>
      </c>
    </row>
    <row r="42" spans="2:10" s="40" customFormat="1" ht="11.25" customHeight="1">
      <c r="B42" s="50" t="s">
        <v>91</v>
      </c>
      <c r="C42" s="181" t="s">
        <v>92</v>
      </c>
      <c r="D42" s="181"/>
      <c r="E42" s="181"/>
      <c r="F42" s="181"/>
      <c r="G42" s="181"/>
      <c r="H42" s="44">
        <v>574736</v>
      </c>
      <c r="I42" s="44">
        <v>1062</v>
      </c>
      <c r="J42" s="44">
        <f>SUM(H42:I42)</f>
        <v>575798</v>
      </c>
    </row>
    <row r="43" spans="3:14" s="59" customFormat="1" ht="18" customHeight="1">
      <c r="C43" s="158" t="s">
        <v>93</v>
      </c>
      <c r="D43" s="158"/>
      <c r="E43" s="158"/>
      <c r="F43" s="158"/>
      <c r="G43" s="158"/>
      <c r="H43" s="60">
        <f>H44+H46+H56+H57</f>
        <v>8820085</v>
      </c>
      <c r="I43" s="60">
        <f>I44+I46+I56+I57</f>
        <v>833014</v>
      </c>
      <c r="J43" s="60">
        <f>J44+J46+J56+J57</f>
        <v>9653099</v>
      </c>
      <c r="K43" s="34"/>
      <c r="L43" s="34"/>
      <c r="M43" s="34"/>
      <c r="N43" s="34"/>
    </row>
    <row r="44" spans="2:10" s="34" customFormat="1" ht="11.25">
      <c r="B44" s="40" t="s">
        <v>94</v>
      </c>
      <c r="C44" s="184" t="s">
        <v>95</v>
      </c>
      <c r="D44" s="184"/>
      <c r="E44" s="184"/>
      <c r="F44" s="184"/>
      <c r="G44" s="184"/>
      <c r="H44" s="44">
        <f>H45</f>
        <v>234669</v>
      </c>
      <c r="I44" s="44">
        <f>I45</f>
        <v>0</v>
      </c>
      <c r="J44" s="44">
        <f>J45</f>
        <v>234669</v>
      </c>
    </row>
    <row r="45" spans="2:10" s="61" customFormat="1" ht="22.5" customHeight="1">
      <c r="B45" s="62" t="s">
        <v>96</v>
      </c>
      <c r="C45" s="180" t="s">
        <v>97</v>
      </c>
      <c r="D45" s="180"/>
      <c r="E45" s="180"/>
      <c r="F45" s="180"/>
      <c r="G45" s="180"/>
      <c r="H45" s="43">
        <v>234669</v>
      </c>
      <c r="I45" s="43"/>
      <c r="J45" s="43">
        <f>SUM(H45:I45)</f>
        <v>234669</v>
      </c>
    </row>
    <row r="46" spans="2:10" s="34" customFormat="1" ht="11.25">
      <c r="B46" s="40" t="s">
        <v>98</v>
      </c>
      <c r="C46" s="184" t="s">
        <v>99</v>
      </c>
      <c r="D46" s="184"/>
      <c r="E46" s="184"/>
      <c r="F46" s="184"/>
      <c r="G46" s="184"/>
      <c r="H46" s="63">
        <f>H47+H48+H49+H50+H51+H52+H54+H53+H55</f>
        <v>7954235</v>
      </c>
      <c r="I46" s="63">
        <f>I47+I48+I49+I50+I51+I52+I54+I53+I55</f>
        <v>833014</v>
      </c>
      <c r="J46" s="63">
        <f>J47+J48+J49+J50+J51+J52+J54+J53+J55</f>
        <v>8787249</v>
      </c>
    </row>
    <row r="47" spans="2:10" s="61" customFormat="1" ht="12.75" customHeight="1">
      <c r="B47" s="45" t="s">
        <v>100</v>
      </c>
      <c r="C47" s="164" t="s">
        <v>101</v>
      </c>
      <c r="D47" s="164"/>
      <c r="E47" s="164"/>
      <c r="F47" s="164"/>
      <c r="G47" s="164"/>
      <c r="H47" s="43">
        <v>890437</v>
      </c>
      <c r="I47" s="43">
        <f>33000+50622</f>
        <v>83622</v>
      </c>
      <c r="J47" s="43">
        <f aca="true" t="shared" si="0" ref="J47:J57">SUM(H47:I47)</f>
        <v>974059</v>
      </c>
    </row>
    <row r="48" spans="2:10" s="61" customFormat="1" ht="12.75" customHeight="1">
      <c r="B48" s="45" t="s">
        <v>102</v>
      </c>
      <c r="C48" s="164" t="s">
        <v>103</v>
      </c>
      <c r="D48" s="164"/>
      <c r="E48" s="164"/>
      <c r="F48" s="164"/>
      <c r="G48" s="164"/>
      <c r="H48" s="43">
        <v>7896</v>
      </c>
      <c r="I48" s="43"/>
      <c r="J48" s="43">
        <f t="shared" si="0"/>
        <v>7896</v>
      </c>
    </row>
    <row r="49" spans="2:10" s="64" customFormat="1" ht="22.5" customHeight="1">
      <c r="B49" s="62" t="s">
        <v>104</v>
      </c>
      <c r="C49" s="180" t="s">
        <v>105</v>
      </c>
      <c r="D49" s="180"/>
      <c r="E49" s="180"/>
      <c r="F49" s="180"/>
      <c r="G49" s="180"/>
      <c r="H49" s="65">
        <v>8500</v>
      </c>
      <c r="I49" s="65"/>
      <c r="J49" s="65">
        <f t="shared" si="0"/>
        <v>8500</v>
      </c>
    </row>
    <row r="50" spans="2:10" s="61" customFormat="1" ht="12.75" customHeight="1">
      <c r="B50" s="45" t="s">
        <v>106</v>
      </c>
      <c r="C50" s="164" t="s">
        <v>107</v>
      </c>
      <c r="D50" s="164"/>
      <c r="E50" s="164"/>
      <c r="F50" s="164"/>
      <c r="G50" s="164"/>
      <c r="H50" s="43">
        <v>172000</v>
      </c>
      <c r="I50" s="43">
        <f>97614+400000+170000+25000</f>
        <v>692614</v>
      </c>
      <c r="J50" s="43">
        <f t="shared" si="0"/>
        <v>864614</v>
      </c>
    </row>
    <row r="51" spans="2:10" s="61" customFormat="1" ht="43.5" customHeight="1">
      <c r="B51" s="62" t="s">
        <v>108</v>
      </c>
      <c r="C51" s="180" t="s">
        <v>109</v>
      </c>
      <c r="D51" s="180"/>
      <c r="E51" s="180"/>
      <c r="F51" s="180"/>
      <c r="G51" s="180"/>
      <c r="H51" s="43">
        <v>5279374</v>
      </c>
      <c r="I51" s="43">
        <v>-33000</v>
      </c>
      <c r="J51" s="43">
        <f t="shared" si="0"/>
        <v>5246374</v>
      </c>
    </row>
    <row r="52" spans="2:10" s="61" customFormat="1" ht="35.25" customHeight="1">
      <c r="B52" s="62" t="s">
        <v>110</v>
      </c>
      <c r="C52" s="180" t="s">
        <v>111</v>
      </c>
      <c r="D52" s="180"/>
      <c r="E52" s="180"/>
      <c r="F52" s="180"/>
      <c r="G52" s="180"/>
      <c r="H52" s="43">
        <v>329429</v>
      </c>
      <c r="I52" s="43"/>
      <c r="J52" s="43">
        <f t="shared" si="0"/>
        <v>329429</v>
      </c>
    </row>
    <row r="53" spans="2:10" s="61" customFormat="1" ht="13.5" customHeight="1">
      <c r="B53" s="62" t="s">
        <v>155</v>
      </c>
      <c r="C53" s="180" t="s">
        <v>156</v>
      </c>
      <c r="D53" s="180"/>
      <c r="E53" s="180"/>
      <c r="F53" s="180"/>
      <c r="G53" s="180"/>
      <c r="H53" s="43">
        <v>19000</v>
      </c>
      <c r="I53" s="43">
        <f>9000+1000+3000+5000+4500+1000+500+500+500</f>
        <v>25000</v>
      </c>
      <c r="J53" s="43">
        <f t="shared" si="0"/>
        <v>44000</v>
      </c>
    </row>
    <row r="54" spans="2:10" s="61" customFormat="1" ht="13.5" customHeight="1">
      <c r="B54" s="62" t="s">
        <v>112</v>
      </c>
      <c r="C54" s="180" t="s">
        <v>113</v>
      </c>
      <c r="D54" s="180"/>
      <c r="E54" s="180"/>
      <c r="F54" s="180"/>
      <c r="G54" s="180"/>
      <c r="H54" s="66">
        <f>253968+172004</f>
        <v>425972</v>
      </c>
      <c r="I54" s="66"/>
      <c r="J54" s="66">
        <f t="shared" si="0"/>
        <v>425972</v>
      </c>
    </row>
    <row r="55" spans="2:10" s="61" customFormat="1" ht="13.5" customHeight="1">
      <c r="B55" s="62" t="s">
        <v>157</v>
      </c>
      <c r="C55" s="180" t="s">
        <v>158</v>
      </c>
      <c r="D55" s="180"/>
      <c r="E55" s="180"/>
      <c r="F55" s="180"/>
      <c r="G55" s="180"/>
      <c r="H55" s="66">
        <v>821627</v>
      </c>
      <c r="I55" s="66">
        <f>4004+60774</f>
        <v>64778</v>
      </c>
      <c r="J55" s="66">
        <f>SUM(H55:I55)</f>
        <v>886405</v>
      </c>
    </row>
    <row r="56" spans="2:10" s="50" customFormat="1" ht="23.25" customHeight="1">
      <c r="B56" s="51" t="s">
        <v>114</v>
      </c>
      <c r="C56" s="181" t="s">
        <v>115</v>
      </c>
      <c r="D56" s="181"/>
      <c r="E56" s="181"/>
      <c r="F56" s="181"/>
      <c r="G56" s="181"/>
      <c r="H56" s="52">
        <v>621181</v>
      </c>
      <c r="I56" s="52"/>
      <c r="J56" s="52">
        <f t="shared" si="0"/>
        <v>621181</v>
      </c>
    </row>
    <row r="57" spans="2:10" s="50" customFormat="1" ht="12" customHeight="1">
      <c r="B57" s="51" t="s">
        <v>159</v>
      </c>
      <c r="C57" s="181" t="s">
        <v>160</v>
      </c>
      <c r="D57" s="181"/>
      <c r="E57" s="181"/>
      <c r="F57" s="181"/>
      <c r="G57" s="181"/>
      <c r="H57" s="52">
        <v>10000</v>
      </c>
      <c r="I57" s="52"/>
      <c r="J57" s="52">
        <f t="shared" si="0"/>
        <v>10000</v>
      </c>
    </row>
    <row r="58" spans="2:10" s="50" customFormat="1" ht="12" customHeight="1">
      <c r="B58" s="51"/>
      <c r="C58" s="51"/>
      <c r="D58" s="51"/>
      <c r="E58" s="51"/>
      <c r="F58" s="51"/>
      <c r="G58" s="51"/>
      <c r="H58" s="52"/>
      <c r="I58" s="52"/>
      <c r="J58" s="52"/>
    </row>
    <row r="59" spans="2:10" s="50" customFormat="1" ht="12" customHeight="1">
      <c r="B59" s="51"/>
      <c r="C59" s="51"/>
      <c r="D59" s="51"/>
      <c r="E59" s="51"/>
      <c r="F59" s="51"/>
      <c r="G59" s="51"/>
      <c r="H59" s="52"/>
      <c r="I59" s="52"/>
      <c r="J59" s="52"/>
    </row>
    <row r="60" spans="2:10" s="50" customFormat="1" ht="12" customHeight="1">
      <c r="B60" s="51"/>
      <c r="C60" s="51"/>
      <c r="D60" s="51"/>
      <c r="E60" s="51"/>
      <c r="F60" s="51"/>
      <c r="G60" s="51"/>
      <c r="H60" s="52"/>
      <c r="I60" s="52"/>
      <c r="J60" s="52"/>
    </row>
    <row r="61" spans="2:10" s="50" customFormat="1" ht="12" customHeight="1">
      <c r="B61" s="51"/>
      <c r="C61" s="51"/>
      <c r="D61" s="51"/>
      <c r="E61" s="51"/>
      <c r="F61" s="67"/>
      <c r="G61" s="134">
        <v>2</v>
      </c>
      <c r="H61" s="52"/>
      <c r="I61" s="52"/>
      <c r="J61" s="52"/>
    </row>
    <row r="62" spans="2:10" s="8" customFormat="1" ht="54.75" customHeight="1">
      <c r="B62" s="29" t="s">
        <v>39</v>
      </c>
      <c r="C62" s="161" t="s">
        <v>2</v>
      </c>
      <c r="D62" s="161"/>
      <c r="E62" s="161"/>
      <c r="F62" s="161"/>
      <c r="G62" s="161"/>
      <c r="H62" s="9" t="s">
        <v>3</v>
      </c>
      <c r="I62" s="9" t="s">
        <v>152</v>
      </c>
      <c r="J62" s="9" t="s">
        <v>154</v>
      </c>
    </row>
    <row r="63" spans="2:10" s="68" customFormat="1" ht="33" customHeight="1">
      <c r="B63" s="32"/>
      <c r="C63" s="162" t="s">
        <v>116</v>
      </c>
      <c r="D63" s="162"/>
      <c r="E63" s="162"/>
      <c r="F63" s="162"/>
      <c r="G63" s="162"/>
      <c r="H63" s="33">
        <f>H64+H78</f>
        <v>25279367</v>
      </c>
      <c r="I63" s="33">
        <f>I64+I78</f>
        <v>1173477</v>
      </c>
      <c r="J63" s="33">
        <f>J64+J78</f>
        <v>26452844</v>
      </c>
    </row>
    <row r="64" spans="2:10" s="69" customFormat="1" ht="13.5" customHeight="1">
      <c r="B64" s="70"/>
      <c r="C64" s="163" t="s">
        <v>117</v>
      </c>
      <c r="D64" s="163"/>
      <c r="E64" s="163"/>
      <c r="F64" s="163"/>
      <c r="G64" s="163"/>
      <c r="H64" s="48">
        <f>SUM(H65:H77)</f>
        <v>25227367</v>
      </c>
      <c r="I64" s="48">
        <f>SUM(I65:I77)</f>
        <v>1173477</v>
      </c>
      <c r="J64" s="48">
        <f>SUM(J65:J77)</f>
        <v>26400844</v>
      </c>
    </row>
    <row r="65" spans="2:10" s="47" customFormat="1" ht="12">
      <c r="B65" s="71" t="s">
        <v>118</v>
      </c>
      <c r="C65" s="183" t="s">
        <v>119</v>
      </c>
      <c r="D65" s="183"/>
      <c r="E65" s="183"/>
      <c r="F65" s="183"/>
      <c r="G65" s="183"/>
      <c r="H65" s="41">
        <v>1478653</v>
      </c>
      <c r="I65" s="41">
        <v>-3017</v>
      </c>
      <c r="J65" s="41">
        <f>SUM(H65:I65)</f>
        <v>1475636</v>
      </c>
    </row>
    <row r="66" spans="2:10" s="47" customFormat="1" ht="12">
      <c r="B66" s="71" t="s">
        <v>120</v>
      </c>
      <c r="C66" s="183" t="s">
        <v>121</v>
      </c>
      <c r="D66" s="183"/>
      <c r="E66" s="183"/>
      <c r="F66" s="183"/>
      <c r="G66" s="183"/>
      <c r="H66" s="41">
        <v>363752</v>
      </c>
      <c r="I66" s="41">
        <f>10000+2600</f>
        <v>12600</v>
      </c>
      <c r="J66" s="41">
        <f aca="true" t="shared" si="1" ref="J66:J77">SUM(H66:I66)</f>
        <v>376352</v>
      </c>
    </row>
    <row r="67" spans="2:10" s="47" customFormat="1" ht="12">
      <c r="B67" s="71" t="s">
        <v>122</v>
      </c>
      <c r="C67" s="183" t="s">
        <v>123</v>
      </c>
      <c r="D67" s="183"/>
      <c r="E67" s="183"/>
      <c r="F67" s="183"/>
      <c r="G67" s="183"/>
      <c r="H67" s="41">
        <v>14648483</v>
      </c>
      <c r="I67" s="41">
        <f>4004+97614+400000+25000+14000+50622+288+300+750+900+121787+1357+3318+18300</f>
        <v>738240</v>
      </c>
      <c r="J67" s="41">
        <f t="shared" si="1"/>
        <v>15386723</v>
      </c>
    </row>
    <row r="68" spans="2:10" s="47" customFormat="1" ht="12">
      <c r="B68" s="71" t="s">
        <v>124</v>
      </c>
      <c r="C68" s="183" t="s">
        <v>125</v>
      </c>
      <c r="D68" s="183"/>
      <c r="E68" s="183"/>
      <c r="F68" s="183"/>
      <c r="G68" s="183"/>
      <c r="H68" s="41">
        <v>896634</v>
      </c>
      <c r="I68" s="41">
        <f>62774+500</f>
        <v>63274</v>
      </c>
      <c r="J68" s="41">
        <f t="shared" si="1"/>
        <v>959908</v>
      </c>
    </row>
    <row r="69" spans="2:10" s="47" customFormat="1" ht="12">
      <c r="B69" s="71" t="s">
        <v>126</v>
      </c>
      <c r="C69" s="183" t="s">
        <v>127</v>
      </c>
      <c r="D69" s="183"/>
      <c r="E69" s="183"/>
      <c r="F69" s="183"/>
      <c r="G69" s="183"/>
      <c r="H69" s="41">
        <v>2743930</v>
      </c>
      <c r="I69" s="41">
        <v>170000</v>
      </c>
      <c r="J69" s="41">
        <f t="shared" si="1"/>
        <v>2913930</v>
      </c>
    </row>
    <row r="70" spans="2:10" s="47" customFormat="1" ht="12">
      <c r="B70" s="71" t="s">
        <v>128</v>
      </c>
      <c r="C70" s="183" t="s">
        <v>129</v>
      </c>
      <c r="D70" s="183"/>
      <c r="E70" s="183"/>
      <c r="F70" s="183"/>
      <c r="G70" s="183"/>
      <c r="H70" s="41">
        <v>1915470</v>
      </c>
      <c r="I70" s="41">
        <f>1000+41500+135000</f>
        <v>177500</v>
      </c>
      <c r="J70" s="41">
        <f t="shared" si="1"/>
        <v>2092970</v>
      </c>
    </row>
    <row r="71" spans="2:10" s="47" customFormat="1" ht="12">
      <c r="B71" s="71" t="s">
        <v>130</v>
      </c>
      <c r="C71" s="183" t="s">
        <v>131</v>
      </c>
      <c r="D71" s="183"/>
      <c r="E71" s="183"/>
      <c r="F71" s="183"/>
      <c r="G71" s="183"/>
      <c r="H71" s="41">
        <v>1778946</v>
      </c>
      <c r="I71" s="41">
        <f>1062-4712+9000+6365</f>
        <v>11715</v>
      </c>
      <c r="J71" s="41">
        <f t="shared" si="1"/>
        <v>1790661</v>
      </c>
    </row>
    <row r="72" spans="2:10" s="47" customFormat="1" ht="12">
      <c r="B72" s="71" t="s">
        <v>132</v>
      </c>
      <c r="C72" s="183" t="s">
        <v>133</v>
      </c>
      <c r="D72" s="183"/>
      <c r="E72" s="183"/>
      <c r="F72" s="183"/>
      <c r="G72" s="183"/>
      <c r="H72" s="41">
        <v>-194200</v>
      </c>
      <c r="I72" s="41"/>
      <c r="J72" s="41">
        <f t="shared" si="1"/>
        <v>-194200</v>
      </c>
    </row>
    <row r="73" spans="2:10" s="47" customFormat="1" ht="12">
      <c r="B73" s="71" t="s">
        <v>134</v>
      </c>
      <c r="C73" s="183" t="s">
        <v>135</v>
      </c>
      <c r="D73" s="183"/>
      <c r="E73" s="183"/>
      <c r="F73" s="183"/>
      <c r="G73" s="183"/>
      <c r="H73" s="41">
        <v>1057386</v>
      </c>
      <c r="I73" s="41">
        <v>500</v>
      </c>
      <c r="J73" s="41">
        <f t="shared" si="1"/>
        <v>1057886</v>
      </c>
    </row>
    <row r="74" spans="2:10" s="47" customFormat="1" ht="12">
      <c r="B74" s="71" t="s">
        <v>136</v>
      </c>
      <c r="C74" s="183" t="s">
        <v>137</v>
      </c>
      <c r="D74" s="183"/>
      <c r="E74" s="183"/>
      <c r="F74" s="183"/>
      <c r="G74" s="183"/>
      <c r="H74" s="41">
        <v>44136</v>
      </c>
      <c r="I74" s="41"/>
      <c r="J74" s="41">
        <f t="shared" si="1"/>
        <v>44136</v>
      </c>
    </row>
    <row r="75" spans="2:10" s="47" customFormat="1" ht="12">
      <c r="B75" s="71" t="s">
        <v>138</v>
      </c>
      <c r="C75" s="183" t="s">
        <v>139</v>
      </c>
      <c r="D75" s="183"/>
      <c r="E75" s="183"/>
      <c r="F75" s="183"/>
      <c r="G75" s="183"/>
      <c r="H75" s="41">
        <v>418932</v>
      </c>
      <c r="I75" s="41"/>
      <c r="J75" s="41">
        <f t="shared" si="1"/>
        <v>418932</v>
      </c>
    </row>
    <row r="76" spans="2:10" s="47" customFormat="1" ht="12">
      <c r="B76" s="71" t="s">
        <v>140</v>
      </c>
      <c r="C76" s="183" t="s">
        <v>141</v>
      </c>
      <c r="D76" s="183"/>
      <c r="E76" s="183"/>
      <c r="F76" s="183"/>
      <c r="G76" s="183"/>
      <c r="H76" s="41">
        <v>4178</v>
      </c>
      <c r="I76" s="41"/>
      <c r="J76" s="41">
        <f t="shared" si="1"/>
        <v>4178</v>
      </c>
    </row>
    <row r="77" spans="2:10" s="47" customFormat="1" ht="12">
      <c r="B77" s="71" t="s">
        <v>142</v>
      </c>
      <c r="C77" s="183" t="s">
        <v>143</v>
      </c>
      <c r="D77" s="183"/>
      <c r="E77" s="183"/>
      <c r="F77" s="183"/>
      <c r="G77" s="183"/>
      <c r="H77" s="41">
        <v>71067</v>
      </c>
      <c r="I77" s="41">
        <v>2665</v>
      </c>
      <c r="J77" s="41">
        <f t="shared" si="1"/>
        <v>73732</v>
      </c>
    </row>
    <row r="78" spans="2:10" s="69" customFormat="1" ht="15.75" customHeight="1">
      <c r="B78" s="38"/>
      <c r="C78" s="158" t="s">
        <v>144</v>
      </c>
      <c r="D78" s="158"/>
      <c r="E78" s="158"/>
      <c r="F78" s="158"/>
      <c r="G78" s="158"/>
      <c r="H78" s="48">
        <f>H79</f>
        <v>52000</v>
      </c>
      <c r="I78" s="48">
        <f>I79</f>
        <v>0</v>
      </c>
      <c r="J78" s="48">
        <f>J79</f>
        <v>52000</v>
      </c>
    </row>
    <row r="79" spans="2:10" s="72" customFormat="1" ht="26.25" customHeight="1">
      <c r="B79" s="73" t="s">
        <v>145</v>
      </c>
      <c r="C79" s="159" t="s">
        <v>146</v>
      </c>
      <c r="D79" s="159"/>
      <c r="E79" s="159"/>
      <c r="F79" s="159"/>
      <c r="G79" s="159"/>
      <c r="H79" s="74">
        <v>52000</v>
      </c>
      <c r="I79" s="74"/>
      <c r="J79" s="74">
        <f>SUM(H79:I79)</f>
        <v>52000</v>
      </c>
    </row>
    <row r="80" spans="2:10" s="75" customFormat="1" ht="44.25" customHeight="1">
      <c r="B80" s="76"/>
      <c r="C80" s="160" t="s">
        <v>147</v>
      </c>
      <c r="D80" s="160"/>
      <c r="E80" s="160"/>
      <c r="F80" s="160"/>
      <c r="G80" s="160"/>
      <c r="H80" s="33">
        <f>H11-H63</f>
        <v>12499</v>
      </c>
      <c r="I80" s="33">
        <f>I11-I63</f>
        <v>0</v>
      </c>
      <c r="J80" s="33">
        <f>J11-J63</f>
        <v>12499</v>
      </c>
    </row>
    <row r="81" spans="3:10" s="77" customFormat="1" ht="14.25">
      <c r="C81" s="185" t="s">
        <v>148</v>
      </c>
      <c r="D81" s="185"/>
      <c r="E81" s="185"/>
      <c r="F81" s="185"/>
      <c r="G81" s="185"/>
      <c r="H81" s="78">
        <f>H82+H90</f>
        <v>-12499</v>
      </c>
      <c r="I81" s="78">
        <f>I82+I90</f>
        <v>0</v>
      </c>
      <c r="J81" s="78">
        <f>J82+J90</f>
        <v>-12499</v>
      </c>
    </row>
    <row r="82" spans="3:10" s="40" customFormat="1" ht="10.5">
      <c r="C82" s="184" t="s">
        <v>149</v>
      </c>
      <c r="D82" s="184"/>
      <c r="E82" s="184"/>
      <c r="F82" s="184"/>
      <c r="G82" s="184"/>
      <c r="H82" s="44">
        <f>H83+H85+H88</f>
        <v>-12499</v>
      </c>
      <c r="I82" s="44">
        <f>I83+I85+I88</f>
        <v>0</v>
      </c>
      <c r="J82" s="44">
        <f>J83+J85+J88</f>
        <v>-12499</v>
      </c>
    </row>
    <row r="83" spans="3:10" s="34" customFormat="1" ht="11.25">
      <c r="C83" s="183" t="s">
        <v>30</v>
      </c>
      <c r="D83" s="183"/>
      <c r="E83" s="183"/>
      <c r="F83" s="183"/>
      <c r="G83" s="183"/>
      <c r="H83" s="41">
        <f>H84</f>
        <v>-269200</v>
      </c>
      <c r="I83" s="41">
        <f>I84</f>
        <v>0</v>
      </c>
      <c r="J83" s="41">
        <f>J84</f>
        <v>-269200</v>
      </c>
    </row>
    <row r="84" spans="3:10" s="79" customFormat="1" ht="10.5">
      <c r="C84" s="80"/>
      <c r="D84" s="182" t="s">
        <v>150</v>
      </c>
      <c r="E84" s="182"/>
      <c r="F84" s="182"/>
      <c r="G84" s="182"/>
      <c r="H84" s="46">
        <v>-269200</v>
      </c>
      <c r="I84" s="46"/>
      <c r="J84" s="46">
        <f>SUM(H84:I84)</f>
        <v>-269200</v>
      </c>
    </row>
    <row r="85" spans="3:10" s="34" customFormat="1" ht="11.25">
      <c r="C85" s="183" t="s">
        <v>31</v>
      </c>
      <c r="D85" s="183"/>
      <c r="E85" s="183"/>
      <c r="F85" s="183"/>
      <c r="G85" s="183"/>
      <c r="H85" s="41">
        <f>H86+H87</f>
        <v>445209</v>
      </c>
      <c r="I85" s="41">
        <f>I86+I87</f>
        <v>0</v>
      </c>
      <c r="J85" s="41">
        <f>J86+J87</f>
        <v>445209</v>
      </c>
    </row>
    <row r="86" spans="3:10" s="79" customFormat="1" ht="10.5">
      <c r="C86" s="80"/>
      <c r="D86" s="182" t="s">
        <v>32</v>
      </c>
      <c r="E86" s="182"/>
      <c r="F86" s="182"/>
      <c r="G86" s="182"/>
      <c r="H86" s="46">
        <v>445209</v>
      </c>
      <c r="I86" s="46"/>
      <c r="J86" s="46">
        <f>SUM(H86:I86)</f>
        <v>445209</v>
      </c>
    </row>
    <row r="87" spans="3:10" s="79" customFormat="1" ht="10.5">
      <c r="C87" s="80"/>
      <c r="D87" s="182" t="s">
        <v>33</v>
      </c>
      <c r="E87" s="182"/>
      <c r="F87" s="182"/>
      <c r="G87" s="182"/>
      <c r="H87" s="46">
        <v>0</v>
      </c>
      <c r="I87" s="46"/>
      <c r="J87" s="46">
        <v>0</v>
      </c>
    </row>
    <row r="88" spans="3:10" s="34" customFormat="1" ht="11.25">
      <c r="C88" s="183" t="s">
        <v>34</v>
      </c>
      <c r="D88" s="183"/>
      <c r="E88" s="183"/>
      <c r="F88" s="183"/>
      <c r="G88" s="183"/>
      <c r="H88" s="41">
        <v>-188508</v>
      </c>
      <c r="I88" s="41"/>
      <c r="J88" s="41">
        <f>SUM(H88:I88)</f>
        <v>-188508</v>
      </c>
    </row>
    <row r="89" spans="3:10" s="34" customFormat="1" ht="11.25">
      <c r="C89" s="183"/>
      <c r="D89" s="183"/>
      <c r="E89" s="183"/>
      <c r="F89" s="183"/>
      <c r="G89" s="183"/>
      <c r="H89" s="41"/>
      <c r="I89" s="41"/>
      <c r="J89" s="41"/>
    </row>
    <row r="90" spans="3:10" s="40" customFormat="1" ht="10.5">
      <c r="C90" s="184"/>
      <c r="D90" s="184"/>
      <c r="E90" s="184"/>
      <c r="F90" s="184"/>
      <c r="G90" s="184"/>
      <c r="H90" s="44"/>
      <c r="I90" s="44"/>
      <c r="J90" s="44"/>
    </row>
    <row r="91" spans="3:10" s="79" customFormat="1" ht="10.5">
      <c r="C91" s="80"/>
      <c r="D91" s="182"/>
      <c r="E91" s="182"/>
      <c r="F91" s="182"/>
      <c r="G91" s="182"/>
      <c r="H91" s="46"/>
      <c r="I91" s="46"/>
      <c r="J91" s="46"/>
    </row>
    <row r="92" spans="3:10" s="79" customFormat="1" ht="10.5">
      <c r="C92" s="80"/>
      <c r="D92" s="182"/>
      <c r="E92" s="182"/>
      <c r="F92" s="182"/>
      <c r="G92" s="182"/>
      <c r="H92" s="46"/>
      <c r="I92" s="46"/>
      <c r="J92" s="46"/>
    </row>
    <row r="94" spans="2:10" s="10" customFormat="1" ht="12.75">
      <c r="B94" s="10" t="s">
        <v>35</v>
      </c>
      <c r="H94" s="11"/>
      <c r="I94" s="11" t="s">
        <v>36</v>
      </c>
      <c r="J94" s="11"/>
    </row>
    <row r="121" ht="11.25">
      <c r="G121" s="81"/>
    </row>
    <row r="127" ht="11.25">
      <c r="F127" s="3"/>
    </row>
  </sheetData>
  <mergeCells count="80">
    <mergeCell ref="B7:H7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2:G32"/>
    <mergeCell ref="C33:G33"/>
    <mergeCell ref="C31:G31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4:G54"/>
    <mergeCell ref="C53:G53"/>
    <mergeCell ref="C56:G56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D87:G87"/>
    <mergeCell ref="C81:G81"/>
    <mergeCell ref="C82:G82"/>
    <mergeCell ref="C83:G83"/>
    <mergeCell ref="C55:G55"/>
    <mergeCell ref="C57:G57"/>
    <mergeCell ref="D92:G92"/>
    <mergeCell ref="C88:G88"/>
    <mergeCell ref="C89:G89"/>
    <mergeCell ref="C90:G90"/>
    <mergeCell ref="D91:G91"/>
    <mergeCell ref="D84:G84"/>
    <mergeCell ref="C85:G85"/>
    <mergeCell ref="D86:G86"/>
  </mergeCells>
  <printOptions/>
  <pageMargins left="0.54" right="0.2" top="0.41" bottom="0.48" header="0.3" footer="0.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6"/>
  <sheetViews>
    <sheetView workbookViewId="0" topLeftCell="A7">
      <selection activeCell="H6" sqref="H6"/>
    </sheetView>
  </sheetViews>
  <sheetFormatPr defaultColWidth="9.00390625" defaultRowHeight="12"/>
  <cols>
    <col min="1" max="1" width="4.00390625" style="10" customWidth="1"/>
    <col min="2" max="2" width="5.00390625" style="10" customWidth="1"/>
    <col min="3" max="4" width="9.375" style="10" customWidth="1"/>
    <col min="5" max="5" width="37.875" style="10" customWidth="1"/>
    <col min="6" max="6" width="12.125" style="88" customWidth="1"/>
    <col min="7" max="7" width="13.00390625" style="88" customWidth="1"/>
    <col min="8" max="8" width="13.625" style="88" customWidth="1"/>
    <col min="9" max="16384" width="9.375" style="10" customWidth="1"/>
  </cols>
  <sheetData>
    <row r="1" spans="5:8" ht="12.75">
      <c r="E1" s="85"/>
      <c r="F1" s="86"/>
      <c r="G1" s="86" t="s">
        <v>161</v>
      </c>
      <c r="H1" s="86"/>
    </row>
    <row r="2" spans="5:8" ht="12.75">
      <c r="E2" s="85"/>
      <c r="F2" s="87"/>
      <c r="G2" s="87" t="s">
        <v>253</v>
      </c>
      <c r="H2" s="87"/>
    </row>
    <row r="3" spans="5:8" ht="12.75">
      <c r="E3" s="85"/>
      <c r="F3" s="87"/>
      <c r="G3" s="87" t="s">
        <v>249</v>
      </c>
      <c r="H3" s="87"/>
    </row>
    <row r="4" spans="5:8" ht="12.75">
      <c r="E4" s="85"/>
      <c r="F4" s="87"/>
      <c r="G4" s="87" t="s">
        <v>250</v>
      </c>
      <c r="H4" s="87"/>
    </row>
    <row r="6" spans="2:6" s="89" customFormat="1" ht="39" customHeight="1">
      <c r="B6" s="191" t="s">
        <v>162</v>
      </c>
      <c r="C6" s="191"/>
      <c r="D6" s="191"/>
      <c r="E6" s="191"/>
      <c r="F6" s="191"/>
    </row>
    <row r="7" ht="10.5" customHeight="1"/>
    <row r="8" spans="2:8" s="82" customFormat="1" ht="51">
      <c r="B8" s="161" t="s">
        <v>2</v>
      </c>
      <c r="C8" s="161"/>
      <c r="D8" s="161"/>
      <c r="E8" s="161"/>
      <c r="F8" s="35" t="s">
        <v>163</v>
      </c>
      <c r="G8" s="35" t="s">
        <v>152</v>
      </c>
      <c r="H8" s="35" t="s">
        <v>182</v>
      </c>
    </row>
    <row r="9" spans="2:8" s="82" customFormat="1" ht="12.75">
      <c r="B9" s="90"/>
      <c r="C9" s="90"/>
      <c r="D9" s="90"/>
      <c r="E9" s="90"/>
      <c r="F9" s="90"/>
      <c r="G9" s="90"/>
      <c r="H9" s="90"/>
    </row>
    <row r="10" spans="2:8" s="91" customFormat="1" ht="15">
      <c r="B10" s="185" t="s">
        <v>164</v>
      </c>
      <c r="C10" s="185"/>
      <c r="D10" s="185"/>
      <c r="E10" s="185"/>
      <c r="F10" s="78">
        <f>12618-119</f>
        <v>12499</v>
      </c>
      <c r="G10" s="78"/>
      <c r="H10" s="78">
        <f>SUM(F10:G10)</f>
        <v>12499</v>
      </c>
    </row>
    <row r="11" spans="2:8" s="91" customFormat="1" ht="15">
      <c r="B11" s="185" t="s">
        <v>28</v>
      </c>
      <c r="C11" s="192"/>
      <c r="D11" s="192"/>
      <c r="E11" s="192"/>
      <c r="F11" s="78">
        <f>F13</f>
        <v>-12499</v>
      </c>
      <c r="G11" s="78">
        <f>G13</f>
        <v>0</v>
      </c>
      <c r="H11" s="78">
        <f>H13</f>
        <v>-12499</v>
      </c>
    </row>
    <row r="12" spans="2:8" s="92" customFormat="1" ht="10.5" customHeight="1">
      <c r="B12" s="38"/>
      <c r="C12" s="93"/>
      <c r="D12" s="93"/>
      <c r="E12" s="93"/>
      <c r="F12" s="44"/>
      <c r="G12" s="44"/>
      <c r="H12" s="44"/>
    </row>
    <row r="13" spans="2:8" s="92" customFormat="1" ht="12.75">
      <c r="B13" s="187" t="s">
        <v>165</v>
      </c>
      <c r="C13" s="188"/>
      <c r="D13" s="188"/>
      <c r="E13" s="188"/>
      <c r="F13" s="94">
        <f>F14+F19+F28</f>
        <v>-12499</v>
      </c>
      <c r="G13" s="94">
        <f>G14+G19+G28</f>
        <v>0</v>
      </c>
      <c r="H13" s="94">
        <f>H14+H19+H28</f>
        <v>-12499</v>
      </c>
    </row>
    <row r="14" spans="2:8" s="92" customFormat="1" ht="12.75">
      <c r="B14" s="170" t="s">
        <v>166</v>
      </c>
      <c r="C14" s="155"/>
      <c r="D14" s="155"/>
      <c r="E14" s="155"/>
      <c r="F14" s="44">
        <f>F15</f>
        <v>-269200</v>
      </c>
      <c r="G14" s="44">
        <f>G15</f>
        <v>0</v>
      </c>
      <c r="H14" s="44">
        <f>H15</f>
        <v>-269200</v>
      </c>
    </row>
    <row r="15" spans="2:8" s="92" customFormat="1" ht="21.75" customHeight="1">
      <c r="B15" s="189" t="s">
        <v>167</v>
      </c>
      <c r="C15" s="190"/>
      <c r="D15" s="190"/>
      <c r="E15" s="190"/>
      <c r="F15" s="41">
        <f>F16+F17</f>
        <v>-269200</v>
      </c>
      <c r="G15" s="41">
        <f>G16+G17</f>
        <v>0</v>
      </c>
      <c r="H15" s="41">
        <f>H16+H17</f>
        <v>-269200</v>
      </c>
    </row>
    <row r="16" spans="2:8" s="95" customFormat="1" ht="12.75">
      <c r="B16" s="169" t="s">
        <v>168</v>
      </c>
      <c r="C16" s="155"/>
      <c r="D16" s="155"/>
      <c r="E16" s="155"/>
      <c r="F16" s="56">
        <v>-194200</v>
      </c>
      <c r="G16" s="56"/>
      <c r="H16" s="56">
        <f>SUM(F16:G16)</f>
        <v>-194200</v>
      </c>
    </row>
    <row r="17" spans="2:8" s="92" customFormat="1" ht="12.75">
      <c r="B17" s="169" t="s">
        <v>169</v>
      </c>
      <c r="C17" s="186"/>
      <c r="D17" s="186"/>
      <c r="E17" s="186"/>
      <c r="F17" s="43">
        <v>-75000</v>
      </c>
      <c r="G17" s="43"/>
      <c r="H17" s="43">
        <f>SUM(F17:G17)</f>
        <v>-75000</v>
      </c>
    </row>
    <row r="18" spans="2:8" s="92" customFormat="1" ht="12" customHeight="1">
      <c r="B18" s="96"/>
      <c r="C18" s="97"/>
      <c r="D18" s="97"/>
      <c r="E18" s="97"/>
      <c r="F18" s="43"/>
      <c r="G18" s="43"/>
      <c r="H18" s="43"/>
    </row>
    <row r="19" spans="2:8" s="92" customFormat="1" ht="12.75">
      <c r="B19" s="157" t="s">
        <v>170</v>
      </c>
      <c r="C19" s="155"/>
      <c r="D19" s="155"/>
      <c r="E19" s="155"/>
      <c r="F19" s="94">
        <f>F20-F26</f>
        <v>445209</v>
      </c>
      <c r="G19" s="94">
        <f>G20-G26</f>
        <v>0</v>
      </c>
      <c r="H19" s="94">
        <f>H20-H26</f>
        <v>445209</v>
      </c>
    </row>
    <row r="20" spans="2:8" s="92" customFormat="1" ht="12.75">
      <c r="B20" s="156" t="s">
        <v>171</v>
      </c>
      <c r="C20" s="155"/>
      <c r="D20" s="155"/>
      <c r="E20" s="155"/>
      <c r="F20" s="41">
        <f>F21+F22</f>
        <v>445209</v>
      </c>
      <c r="G20" s="41">
        <f>G21+G22</f>
        <v>0</v>
      </c>
      <c r="H20" s="41">
        <f>H21+H22</f>
        <v>445209</v>
      </c>
    </row>
    <row r="21" spans="2:8" s="92" customFormat="1" ht="15.75" customHeight="1">
      <c r="B21" s="164" t="s">
        <v>172</v>
      </c>
      <c r="C21" s="164"/>
      <c r="D21" s="164"/>
      <c r="E21" s="164"/>
      <c r="F21" s="43">
        <f>237343+20</f>
        <v>237363</v>
      </c>
      <c r="G21" s="43"/>
      <c r="H21" s="43">
        <f>SUM(F21:G21)</f>
        <v>237363</v>
      </c>
    </row>
    <row r="22" spans="2:8" s="92" customFormat="1" ht="12.75">
      <c r="B22" s="164" t="s">
        <v>173</v>
      </c>
      <c r="C22" s="164"/>
      <c r="D22" s="164"/>
      <c r="E22" s="164"/>
      <c r="F22" s="43">
        <f>F23+F24+F25</f>
        <v>207846</v>
      </c>
      <c r="G22" s="43">
        <f>G23+G24+G25</f>
        <v>0</v>
      </c>
      <c r="H22" s="43">
        <f>H23+H24+H25</f>
        <v>207846</v>
      </c>
    </row>
    <row r="23" spans="2:8" s="92" customFormat="1" ht="11.25" customHeight="1">
      <c r="B23" s="42"/>
      <c r="C23" s="164" t="s">
        <v>174</v>
      </c>
      <c r="D23" s="164"/>
      <c r="E23" s="164"/>
      <c r="F23" s="43">
        <v>49640</v>
      </c>
      <c r="G23" s="43"/>
      <c r="H23" s="43">
        <f>SUM(F23:G23)</f>
        <v>49640</v>
      </c>
    </row>
    <row r="24" spans="2:8" s="92" customFormat="1" ht="11.25" customHeight="1">
      <c r="B24" s="42"/>
      <c r="C24" s="164" t="s">
        <v>175</v>
      </c>
      <c r="D24" s="164"/>
      <c r="E24" s="164"/>
      <c r="F24" s="43">
        <f>103590+99</f>
        <v>103689</v>
      </c>
      <c r="G24" s="43"/>
      <c r="H24" s="43">
        <f>SUM(F24:G24)</f>
        <v>103689</v>
      </c>
    </row>
    <row r="25" spans="2:8" s="92" customFormat="1" ht="11.25" customHeight="1">
      <c r="B25" s="42"/>
      <c r="C25" s="164" t="s">
        <v>176</v>
      </c>
      <c r="D25" s="164"/>
      <c r="E25" s="164"/>
      <c r="F25" s="43">
        <v>54517</v>
      </c>
      <c r="G25" s="43"/>
      <c r="H25" s="43">
        <f>SUM(F25:G25)</f>
        <v>54517</v>
      </c>
    </row>
    <row r="26" spans="2:8" s="92" customFormat="1" ht="12.75">
      <c r="B26" s="156" t="s">
        <v>33</v>
      </c>
      <c r="C26" s="155"/>
      <c r="D26" s="155"/>
      <c r="E26" s="155"/>
      <c r="F26" s="41">
        <v>0</v>
      </c>
      <c r="G26" s="41">
        <v>0</v>
      </c>
      <c r="H26" s="41">
        <v>0</v>
      </c>
    </row>
    <row r="27" spans="2:8" s="92" customFormat="1" ht="11.25" customHeight="1">
      <c r="B27" s="96"/>
      <c r="C27" s="97"/>
      <c r="D27" s="97"/>
      <c r="E27" s="97"/>
      <c r="F27" s="43"/>
      <c r="G27" s="43"/>
      <c r="H27" s="43"/>
    </row>
    <row r="28" spans="2:8" s="92" customFormat="1" ht="12.75">
      <c r="B28" s="157" t="s">
        <v>177</v>
      </c>
      <c r="C28" s="155"/>
      <c r="D28" s="155"/>
      <c r="E28" s="155"/>
      <c r="F28" s="94">
        <f>F29</f>
        <v>-188508</v>
      </c>
      <c r="G28" s="94">
        <f>G29</f>
        <v>0</v>
      </c>
      <c r="H28" s="94">
        <f>H29</f>
        <v>-188508</v>
      </c>
    </row>
    <row r="29" spans="2:8" s="92" customFormat="1" ht="12.75">
      <c r="B29" s="156" t="s">
        <v>178</v>
      </c>
      <c r="C29" s="155"/>
      <c r="D29" s="155"/>
      <c r="E29" s="155"/>
      <c r="F29" s="41">
        <f>F30+F31+F32</f>
        <v>-188508</v>
      </c>
      <c r="G29" s="41">
        <f>G30+G31+G32</f>
        <v>0</v>
      </c>
      <c r="H29" s="41">
        <f>H30+H31+H32</f>
        <v>-188508</v>
      </c>
    </row>
    <row r="30" spans="2:8" s="34" customFormat="1" ht="11.25">
      <c r="B30" s="169" t="s">
        <v>179</v>
      </c>
      <c r="C30" s="169"/>
      <c r="D30" s="169"/>
      <c r="E30" s="169"/>
      <c r="F30" s="43">
        <v>-75000</v>
      </c>
      <c r="G30" s="43"/>
      <c r="H30" s="43">
        <f>SUM(F30:G30)</f>
        <v>-75000</v>
      </c>
    </row>
    <row r="31" spans="2:8" s="34" customFormat="1" ht="11.25">
      <c r="B31" s="169" t="s">
        <v>180</v>
      </c>
      <c r="C31" s="169"/>
      <c r="D31" s="169"/>
      <c r="E31" s="169"/>
      <c r="F31" s="43">
        <v>-111108</v>
      </c>
      <c r="G31" s="43"/>
      <c r="H31" s="43">
        <f>SUM(F31:G31)</f>
        <v>-111108</v>
      </c>
    </row>
    <row r="32" spans="2:8" s="34" customFormat="1" ht="10.5" customHeight="1">
      <c r="B32" s="164" t="s">
        <v>181</v>
      </c>
      <c r="C32" s="164"/>
      <c r="D32" s="164"/>
      <c r="E32" s="164"/>
      <c r="F32" s="43">
        <v>-2400</v>
      </c>
      <c r="G32" s="43"/>
      <c r="H32" s="43">
        <f>SUM(F32:G32)</f>
        <v>-2400</v>
      </c>
    </row>
    <row r="33" spans="2:8" s="92" customFormat="1" ht="12.75">
      <c r="B33" s="170"/>
      <c r="C33" s="155"/>
      <c r="D33" s="155"/>
      <c r="E33" s="155"/>
      <c r="F33" s="44"/>
      <c r="G33" s="44"/>
      <c r="H33" s="44"/>
    </row>
    <row r="34" spans="2:8" s="92" customFormat="1" ht="12.75">
      <c r="B34" s="169"/>
      <c r="C34" s="155"/>
      <c r="D34" s="155"/>
      <c r="E34" s="155"/>
      <c r="F34" s="43"/>
      <c r="G34" s="43"/>
      <c r="H34" s="43"/>
    </row>
    <row r="36" spans="2:8" ht="12.75">
      <c r="B36" s="167" t="s">
        <v>183</v>
      </c>
      <c r="C36" s="167"/>
      <c r="D36" s="167"/>
      <c r="E36" s="167"/>
      <c r="F36" s="168"/>
      <c r="G36" s="10" t="s">
        <v>36</v>
      </c>
      <c r="H36" s="10"/>
    </row>
  </sheetData>
  <mergeCells count="25">
    <mergeCell ref="B6:F6"/>
    <mergeCell ref="B8:E8"/>
    <mergeCell ref="B10:E10"/>
    <mergeCell ref="B11:E11"/>
    <mergeCell ref="B13:E13"/>
    <mergeCell ref="B14:E14"/>
    <mergeCell ref="B15:E15"/>
    <mergeCell ref="B16:E16"/>
    <mergeCell ref="B17:E17"/>
    <mergeCell ref="B19:E19"/>
    <mergeCell ref="B20:E20"/>
    <mergeCell ref="B21:E21"/>
    <mergeCell ref="B22:E22"/>
    <mergeCell ref="C23:E23"/>
    <mergeCell ref="C24:E24"/>
    <mergeCell ref="C25:E25"/>
    <mergeCell ref="B26:E26"/>
    <mergeCell ref="B28:E28"/>
    <mergeCell ref="B29:E29"/>
    <mergeCell ref="B30:E30"/>
    <mergeCell ref="B36:F36"/>
    <mergeCell ref="B31:E31"/>
    <mergeCell ref="B32:E32"/>
    <mergeCell ref="B33:E33"/>
    <mergeCell ref="B34:E34"/>
  </mergeCells>
  <printOptions/>
  <pageMargins left="0.75" right="0.43" top="0.6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N1">
      <selection activeCell="R5" sqref="R5"/>
    </sheetView>
  </sheetViews>
  <sheetFormatPr defaultColWidth="9.00390625" defaultRowHeight="12"/>
  <cols>
    <col min="1" max="1" width="6.625" style="121" customWidth="1"/>
    <col min="2" max="2" width="7.50390625" style="10" customWidth="1"/>
    <col min="3" max="3" width="8.50390625" style="10" customWidth="1"/>
    <col min="4" max="4" width="7.50390625" style="10" customWidth="1"/>
    <col min="5" max="5" width="9.875" style="10" customWidth="1"/>
    <col min="6" max="6" width="6.625" style="10" customWidth="1"/>
    <col min="7" max="7" width="7.50390625" style="10" customWidth="1"/>
    <col min="8" max="8" width="9.375" style="10" customWidth="1"/>
    <col min="9" max="9" width="12.50390625" style="10" customWidth="1"/>
    <col min="10" max="10" width="8.00390625" style="10" customWidth="1"/>
    <col min="11" max="11" width="9.375" style="10" customWidth="1"/>
    <col min="12" max="12" width="10.50390625" style="10" customWidth="1"/>
    <col min="13" max="13" width="10.125" style="10" customWidth="1"/>
    <col min="14" max="14" width="14.625" style="10" customWidth="1"/>
    <col min="15" max="15" width="10.50390625" style="10" customWidth="1"/>
    <col min="16" max="16" width="12.125" style="10" customWidth="1"/>
    <col min="17" max="17" width="10.375" style="10" customWidth="1"/>
    <col min="18" max="18" width="9.375" style="10" customWidth="1"/>
    <col min="19" max="19" width="8.125" style="121" customWidth="1"/>
    <col min="20" max="20" width="13.50390625" style="10" customWidth="1"/>
    <col min="21" max="21" width="11.50390625" style="10" customWidth="1"/>
    <col min="22" max="22" width="8.00390625" style="10" customWidth="1"/>
    <col min="23" max="24" width="8.50390625" style="10" customWidth="1"/>
    <col min="25" max="25" width="9.00390625" style="10" customWidth="1"/>
    <col min="26" max="26" width="10.00390625" style="10" customWidth="1"/>
    <col min="27" max="27" width="10.50390625" style="10" customWidth="1"/>
    <col min="28" max="28" width="9.375" style="105" customWidth="1"/>
    <col min="29" max="16384" width="9.375" style="10" customWidth="1"/>
  </cols>
  <sheetData>
    <row r="1" spans="1:28" s="1" customFormat="1" ht="11.25">
      <c r="A1" s="99"/>
      <c r="P1" s="3" t="s">
        <v>184</v>
      </c>
      <c r="S1" s="99"/>
      <c r="AB1" s="100"/>
    </row>
    <row r="2" spans="1:28" s="1" customFormat="1" ht="11.25">
      <c r="A2" s="99"/>
      <c r="P2" s="1" t="s">
        <v>254</v>
      </c>
      <c r="S2" s="99"/>
      <c r="AB2" s="100"/>
    </row>
    <row r="3" spans="1:28" s="1" customFormat="1" ht="11.25">
      <c r="A3" s="99"/>
      <c r="P3" s="1" t="s">
        <v>249</v>
      </c>
      <c r="S3" s="101"/>
      <c r="T3" s="27"/>
      <c r="U3" s="18"/>
      <c r="V3" s="18"/>
      <c r="W3" s="18"/>
      <c r="AB3" s="147">
        <v>2</v>
      </c>
    </row>
    <row r="4" spans="1:28" s="1" customFormat="1" ht="11.25">
      <c r="A4" s="99"/>
      <c r="P4" s="1" t="s">
        <v>255</v>
      </c>
      <c r="S4" s="101"/>
      <c r="T4" s="27"/>
      <c r="U4" s="18"/>
      <c r="V4" s="18"/>
      <c r="W4" s="18"/>
      <c r="AB4" s="100"/>
    </row>
    <row r="5" spans="1:28" s="1" customFormat="1" ht="11.25">
      <c r="A5" s="99"/>
      <c r="S5" s="101"/>
      <c r="T5" s="27"/>
      <c r="U5" s="18"/>
      <c r="V5" s="18"/>
      <c r="W5" s="18"/>
      <c r="AB5" s="100"/>
    </row>
    <row r="6" spans="1:23" ht="15.75">
      <c r="A6" s="102"/>
      <c r="B6" s="98"/>
      <c r="C6" s="103"/>
      <c r="D6" s="103"/>
      <c r="E6" s="103"/>
      <c r="F6" s="104" t="s">
        <v>185</v>
      </c>
      <c r="K6" s="98"/>
      <c r="L6" s="103"/>
      <c r="M6" s="103"/>
      <c r="N6" s="103"/>
      <c r="S6" s="102"/>
      <c r="T6" s="98"/>
      <c r="U6" s="103"/>
      <c r="V6" s="103"/>
      <c r="W6" s="103"/>
    </row>
    <row r="7" spans="1:23" ht="12.75">
      <c r="A7" s="102"/>
      <c r="B7" s="98"/>
      <c r="C7" s="103"/>
      <c r="D7" s="103"/>
      <c r="E7" s="103"/>
      <c r="K7" s="98"/>
      <c r="L7" s="103"/>
      <c r="M7" s="103"/>
      <c r="N7" s="103"/>
      <c r="S7" s="102"/>
      <c r="T7" s="98"/>
      <c r="U7" s="103"/>
      <c r="V7" s="103"/>
      <c r="W7" s="103"/>
    </row>
    <row r="8" spans="1:28" ht="25.5" customHeight="1">
      <c r="A8" s="204" t="s">
        <v>186</v>
      </c>
      <c r="B8" s="205"/>
      <c r="C8" s="205"/>
      <c r="D8" s="205"/>
      <c r="E8" s="205"/>
      <c r="F8" s="205"/>
      <c r="G8" s="205"/>
      <c r="H8" s="205"/>
      <c r="I8" s="205"/>
      <c r="J8" s="206"/>
      <c r="K8" s="204" t="s">
        <v>187</v>
      </c>
      <c r="L8" s="205"/>
      <c r="M8" s="205"/>
      <c r="N8" s="205"/>
      <c r="O8" s="205"/>
      <c r="P8" s="205"/>
      <c r="Q8" s="205"/>
      <c r="R8" s="206"/>
      <c r="S8" s="204" t="s">
        <v>188</v>
      </c>
      <c r="T8" s="205"/>
      <c r="U8" s="205"/>
      <c r="V8" s="205"/>
      <c r="W8" s="205"/>
      <c r="X8" s="205"/>
      <c r="Y8" s="205"/>
      <c r="Z8" s="206"/>
      <c r="AA8" s="199" t="s">
        <v>189</v>
      </c>
      <c r="AB8" s="199" t="s">
        <v>246</v>
      </c>
    </row>
    <row r="9" spans="1:28" s="82" customFormat="1" ht="13.5" customHeight="1">
      <c r="A9" s="202" t="s">
        <v>190</v>
      </c>
      <c r="B9" s="197" t="s">
        <v>191</v>
      </c>
      <c r="C9" s="193" t="s">
        <v>192</v>
      </c>
      <c r="D9" s="193" t="s">
        <v>193</v>
      </c>
      <c r="E9" s="193" t="s">
        <v>194</v>
      </c>
      <c r="F9" s="193" t="s">
        <v>195</v>
      </c>
      <c r="G9" s="193" t="s">
        <v>196</v>
      </c>
      <c r="H9" s="193" t="s">
        <v>197</v>
      </c>
      <c r="I9" s="193" t="s">
        <v>198</v>
      </c>
      <c r="J9" s="195" t="s">
        <v>199</v>
      </c>
      <c r="K9" s="197" t="s">
        <v>200</v>
      </c>
      <c r="L9" s="193" t="s">
        <v>201</v>
      </c>
      <c r="M9" s="193" t="s">
        <v>202</v>
      </c>
      <c r="N9" s="193" t="s">
        <v>203</v>
      </c>
      <c r="O9" s="193" t="s">
        <v>204</v>
      </c>
      <c r="P9" s="193" t="s">
        <v>205</v>
      </c>
      <c r="Q9" s="193" t="s">
        <v>206</v>
      </c>
      <c r="R9" s="199" t="s">
        <v>207</v>
      </c>
      <c r="S9" s="200" t="s">
        <v>208</v>
      </c>
      <c r="T9" s="197" t="s">
        <v>209</v>
      </c>
      <c r="U9" s="193" t="s">
        <v>210</v>
      </c>
      <c r="V9" s="193" t="s">
        <v>211</v>
      </c>
      <c r="W9" s="193" t="s">
        <v>212</v>
      </c>
      <c r="X9" s="193" t="s">
        <v>213</v>
      </c>
      <c r="Y9" s="193" t="s">
        <v>214</v>
      </c>
      <c r="Z9" s="195" t="s">
        <v>215</v>
      </c>
      <c r="AA9" s="201"/>
      <c r="AB9" s="201"/>
    </row>
    <row r="10" spans="1:28" s="106" customFormat="1" ht="101.25" customHeight="1">
      <c r="A10" s="203"/>
      <c r="B10" s="198"/>
      <c r="C10" s="194"/>
      <c r="D10" s="194"/>
      <c r="E10" s="194"/>
      <c r="F10" s="194"/>
      <c r="G10" s="194"/>
      <c r="H10" s="194"/>
      <c r="I10" s="194"/>
      <c r="J10" s="196"/>
      <c r="K10" s="198"/>
      <c r="L10" s="194"/>
      <c r="M10" s="194"/>
      <c r="N10" s="194"/>
      <c r="O10" s="194"/>
      <c r="P10" s="194"/>
      <c r="Q10" s="194"/>
      <c r="R10" s="199"/>
      <c r="S10" s="200"/>
      <c r="T10" s="198"/>
      <c r="U10" s="194"/>
      <c r="V10" s="194"/>
      <c r="W10" s="194"/>
      <c r="X10" s="194"/>
      <c r="Y10" s="194"/>
      <c r="Z10" s="196"/>
      <c r="AA10" s="201"/>
      <c r="AB10" s="201"/>
    </row>
    <row r="11" spans="1:28" s="112" customFormat="1" ht="27.75" customHeight="1">
      <c r="A11" s="107">
        <v>2005</v>
      </c>
      <c r="B11" s="108">
        <v>78437</v>
      </c>
      <c r="C11" s="108">
        <v>207643</v>
      </c>
      <c r="D11" s="108">
        <v>84213</v>
      </c>
      <c r="E11" s="108">
        <v>163030</v>
      </c>
      <c r="F11" s="108">
        <v>9396</v>
      </c>
      <c r="G11" s="108">
        <v>134320</v>
      </c>
      <c r="H11" s="108">
        <v>186320</v>
      </c>
      <c r="I11" s="108"/>
      <c r="J11" s="109">
        <f>SUM(B11:I11)</f>
        <v>863359</v>
      </c>
      <c r="K11" s="108">
        <v>232108</v>
      </c>
      <c r="L11" s="110">
        <v>153035</v>
      </c>
      <c r="M11" s="108">
        <v>163247</v>
      </c>
      <c r="N11" s="108">
        <v>35091</v>
      </c>
      <c r="O11" s="108">
        <v>13281</v>
      </c>
      <c r="P11" s="108">
        <v>3620</v>
      </c>
      <c r="Q11" s="108">
        <v>13281</v>
      </c>
      <c r="R11" s="109">
        <f>SUM(K11:Q11)</f>
        <v>613663</v>
      </c>
      <c r="S11" s="107">
        <v>2005</v>
      </c>
      <c r="T11" s="108">
        <v>126400</v>
      </c>
      <c r="U11" s="108">
        <v>74666</v>
      </c>
      <c r="V11" s="108">
        <v>18334</v>
      </c>
      <c r="W11" s="108">
        <v>111004</v>
      </c>
      <c r="X11" s="108">
        <v>65622</v>
      </c>
      <c r="Y11" s="108">
        <v>471287</v>
      </c>
      <c r="Z11" s="109">
        <f aca="true" t="shared" si="0" ref="Z11:Z20">SUM(T11:Y11)</f>
        <v>867313</v>
      </c>
      <c r="AA11" s="109">
        <f aca="true" t="shared" si="1" ref="AA11:AA30">J11+R11+Z11</f>
        <v>2344335</v>
      </c>
      <c r="AB11" s="111">
        <f>AA11/17668094*100</f>
        <v>13.268748739960293</v>
      </c>
    </row>
    <row r="12" spans="1:28" s="117" customFormat="1" ht="12.75">
      <c r="A12" s="113">
        <v>2006</v>
      </c>
      <c r="B12" s="114"/>
      <c r="C12" s="114"/>
      <c r="D12" s="114">
        <v>78758</v>
      </c>
      <c r="E12" s="114">
        <v>155708</v>
      </c>
      <c r="F12" s="114">
        <v>14056</v>
      </c>
      <c r="G12" s="114">
        <v>252782</v>
      </c>
      <c r="H12" s="114">
        <v>186320</v>
      </c>
      <c r="I12" s="114"/>
      <c r="J12" s="115">
        <f aca="true" t="shared" si="2" ref="J12:J23">SUM(B12:I12)</f>
        <v>687624</v>
      </c>
      <c r="K12" s="114">
        <v>228692</v>
      </c>
      <c r="L12" s="116">
        <v>149513</v>
      </c>
      <c r="M12" s="114">
        <v>296546</v>
      </c>
      <c r="N12" s="114">
        <v>77673</v>
      </c>
      <c r="O12" s="114">
        <v>27837</v>
      </c>
      <c r="P12" s="114">
        <v>15680</v>
      </c>
      <c r="Q12" s="114">
        <v>27837</v>
      </c>
      <c r="R12" s="115">
        <f aca="true" t="shared" si="3" ref="R12:R30">SUM(K12:Q12)</f>
        <v>823778</v>
      </c>
      <c r="S12" s="113">
        <v>2006</v>
      </c>
      <c r="T12" s="116">
        <v>104321</v>
      </c>
      <c r="U12" s="116">
        <v>127551</v>
      </c>
      <c r="V12" s="114">
        <v>18510</v>
      </c>
      <c r="W12" s="114">
        <v>101757</v>
      </c>
      <c r="X12" s="114">
        <v>57222</v>
      </c>
      <c r="Y12" s="114">
        <v>458509</v>
      </c>
      <c r="Z12" s="115">
        <f t="shared" si="0"/>
        <v>867870</v>
      </c>
      <c r="AA12" s="115">
        <f t="shared" si="1"/>
        <v>2379272</v>
      </c>
      <c r="AB12" s="111">
        <f aca="true" t="shared" si="4" ref="AB12:AB30">AA12/17668094*100</f>
        <v>13.466489367783533</v>
      </c>
    </row>
    <row r="13" spans="1:28" s="117" customFormat="1" ht="12.75">
      <c r="A13" s="113">
        <v>2007</v>
      </c>
      <c r="B13" s="114"/>
      <c r="C13" s="114"/>
      <c r="D13" s="114">
        <v>25817</v>
      </c>
      <c r="E13" s="114">
        <v>173473</v>
      </c>
      <c r="F13" s="114">
        <v>33077</v>
      </c>
      <c r="G13" s="114">
        <v>244684</v>
      </c>
      <c r="H13" s="114">
        <v>284265</v>
      </c>
      <c r="I13" s="114"/>
      <c r="J13" s="115">
        <f t="shared" si="2"/>
        <v>761316</v>
      </c>
      <c r="K13" s="114">
        <v>225276</v>
      </c>
      <c r="L13" s="116">
        <v>145991</v>
      </c>
      <c r="M13" s="114">
        <v>285749</v>
      </c>
      <c r="N13" s="114">
        <v>116700</v>
      </c>
      <c r="O13" s="114">
        <v>41151</v>
      </c>
      <c r="P13" s="114">
        <v>18562</v>
      </c>
      <c r="Q13" s="114">
        <v>41151</v>
      </c>
      <c r="R13" s="115">
        <f t="shared" si="3"/>
        <v>874580</v>
      </c>
      <c r="S13" s="113">
        <v>2007</v>
      </c>
      <c r="T13" s="116">
        <v>300918</v>
      </c>
      <c r="U13" s="114"/>
      <c r="V13" s="114">
        <v>17648</v>
      </c>
      <c r="W13" s="114"/>
      <c r="X13" s="114"/>
      <c r="Y13" s="114">
        <v>445731</v>
      </c>
      <c r="Z13" s="115">
        <f t="shared" si="0"/>
        <v>764297</v>
      </c>
      <c r="AA13" s="115">
        <f t="shared" si="1"/>
        <v>2400193</v>
      </c>
      <c r="AB13" s="111">
        <f t="shared" si="4"/>
        <v>13.584900555770194</v>
      </c>
    </row>
    <row r="14" spans="1:28" s="117" customFormat="1" ht="12.75">
      <c r="A14" s="113">
        <v>2008</v>
      </c>
      <c r="B14" s="114"/>
      <c r="C14" s="114"/>
      <c r="D14" s="114"/>
      <c r="E14" s="114">
        <v>285850</v>
      </c>
      <c r="F14" s="114">
        <v>60340</v>
      </c>
      <c r="G14" s="114">
        <v>480249</v>
      </c>
      <c r="H14" s="114">
        <v>376730</v>
      </c>
      <c r="I14" s="114"/>
      <c r="J14" s="115">
        <f t="shared" si="2"/>
        <v>1203169</v>
      </c>
      <c r="K14" s="114">
        <v>221860</v>
      </c>
      <c r="L14" s="116">
        <v>142469</v>
      </c>
      <c r="M14" s="114">
        <v>274952</v>
      </c>
      <c r="N14" s="114">
        <v>111696</v>
      </c>
      <c r="O14" s="114">
        <v>39361</v>
      </c>
      <c r="P14" s="114"/>
      <c r="Q14" s="114">
        <v>39361</v>
      </c>
      <c r="R14" s="115">
        <f t="shared" si="3"/>
        <v>829699</v>
      </c>
      <c r="S14" s="113">
        <v>2008</v>
      </c>
      <c r="T14" s="116">
        <v>300918</v>
      </c>
      <c r="U14" s="114"/>
      <c r="V14" s="114"/>
      <c r="W14" s="114"/>
      <c r="X14" s="114"/>
      <c r="Y14" s="114">
        <v>432953</v>
      </c>
      <c r="Z14" s="115">
        <f t="shared" si="0"/>
        <v>733871</v>
      </c>
      <c r="AA14" s="115">
        <f t="shared" si="1"/>
        <v>2766739</v>
      </c>
      <c r="AB14" s="111">
        <f t="shared" si="4"/>
        <v>15.659521621290898</v>
      </c>
    </row>
    <row r="15" spans="1:28" s="117" customFormat="1" ht="12.75">
      <c r="A15" s="113">
        <v>2009</v>
      </c>
      <c r="B15" s="114"/>
      <c r="C15" s="114"/>
      <c r="D15" s="114"/>
      <c r="E15" s="114">
        <v>224946</v>
      </c>
      <c r="F15" s="114">
        <v>66769</v>
      </c>
      <c r="G15" s="114">
        <v>458757</v>
      </c>
      <c r="H15" s="114">
        <v>365770</v>
      </c>
      <c r="I15" s="114"/>
      <c r="J15" s="115">
        <f t="shared" si="2"/>
        <v>1116242</v>
      </c>
      <c r="K15" s="114">
        <v>218444</v>
      </c>
      <c r="L15" s="116">
        <v>138947</v>
      </c>
      <c r="M15" s="114">
        <v>264155</v>
      </c>
      <c r="N15" s="114">
        <v>106693</v>
      </c>
      <c r="O15" s="114">
        <v>37571</v>
      </c>
      <c r="P15" s="114"/>
      <c r="Q15" s="114">
        <v>37571</v>
      </c>
      <c r="R15" s="115">
        <f t="shared" si="3"/>
        <v>803381</v>
      </c>
      <c r="S15" s="113">
        <v>2009</v>
      </c>
      <c r="T15" s="116">
        <v>250465</v>
      </c>
      <c r="U15" s="114"/>
      <c r="V15" s="114"/>
      <c r="W15" s="114"/>
      <c r="X15" s="114"/>
      <c r="Y15" s="114">
        <v>420175</v>
      </c>
      <c r="Z15" s="115">
        <f t="shared" si="0"/>
        <v>670640</v>
      </c>
      <c r="AA15" s="115">
        <f t="shared" si="1"/>
        <v>2590263</v>
      </c>
      <c r="AB15" s="111">
        <f t="shared" si="4"/>
        <v>14.660681565312025</v>
      </c>
    </row>
    <row r="16" spans="1:28" s="117" customFormat="1" ht="12.75">
      <c r="A16" s="113">
        <v>2010</v>
      </c>
      <c r="B16" s="114"/>
      <c r="C16" s="114"/>
      <c r="D16" s="114"/>
      <c r="E16" s="114"/>
      <c r="F16" s="114"/>
      <c r="G16" s="114">
        <v>562467</v>
      </c>
      <c r="H16" s="114">
        <v>354810</v>
      </c>
      <c r="I16" s="114"/>
      <c r="J16" s="115">
        <f t="shared" si="2"/>
        <v>917277</v>
      </c>
      <c r="K16" s="114">
        <v>215028</v>
      </c>
      <c r="L16" s="116">
        <v>135426</v>
      </c>
      <c r="M16" s="114">
        <v>253358</v>
      </c>
      <c r="N16" s="114">
        <v>101690</v>
      </c>
      <c r="O16" s="114">
        <v>35782</v>
      </c>
      <c r="P16" s="114"/>
      <c r="Q16" s="114">
        <v>35782</v>
      </c>
      <c r="R16" s="115">
        <f t="shared" si="3"/>
        <v>777066</v>
      </c>
      <c r="S16" s="113">
        <v>2010</v>
      </c>
      <c r="T16" s="116">
        <v>100306</v>
      </c>
      <c r="U16" s="114"/>
      <c r="V16" s="114"/>
      <c r="W16" s="114"/>
      <c r="X16" s="114"/>
      <c r="Y16" s="114">
        <v>407397</v>
      </c>
      <c r="Z16" s="115">
        <f t="shared" si="0"/>
        <v>507703</v>
      </c>
      <c r="AA16" s="115">
        <f t="shared" si="1"/>
        <v>2202046</v>
      </c>
      <c r="AB16" s="111">
        <f t="shared" si="4"/>
        <v>12.46340437174491</v>
      </c>
    </row>
    <row r="17" spans="1:28" s="117" customFormat="1" ht="12.75">
      <c r="A17" s="113">
        <v>2011</v>
      </c>
      <c r="B17" s="114"/>
      <c r="C17" s="114"/>
      <c r="D17" s="114"/>
      <c r="E17" s="114"/>
      <c r="F17" s="114"/>
      <c r="G17" s="114">
        <v>533500</v>
      </c>
      <c r="H17" s="114">
        <v>343850</v>
      </c>
      <c r="I17" s="114"/>
      <c r="J17" s="115">
        <f t="shared" si="2"/>
        <v>877350</v>
      </c>
      <c r="K17" s="114">
        <v>290473</v>
      </c>
      <c r="L17" s="116">
        <v>66832</v>
      </c>
      <c r="M17" s="114">
        <v>242561</v>
      </c>
      <c r="N17" s="114">
        <v>96686</v>
      </c>
      <c r="O17" s="114">
        <v>33992</v>
      </c>
      <c r="P17" s="114"/>
      <c r="Q17" s="114">
        <v>33992</v>
      </c>
      <c r="R17" s="115">
        <f t="shared" si="3"/>
        <v>764536</v>
      </c>
      <c r="S17" s="113">
        <v>2011</v>
      </c>
      <c r="T17" s="114"/>
      <c r="U17" s="114"/>
      <c r="V17" s="114"/>
      <c r="W17" s="114"/>
      <c r="X17" s="114"/>
      <c r="Y17" s="114">
        <v>394619</v>
      </c>
      <c r="Z17" s="115">
        <f t="shared" si="0"/>
        <v>394619</v>
      </c>
      <c r="AA17" s="115">
        <f t="shared" si="1"/>
        <v>2036505</v>
      </c>
      <c r="AB17" s="111">
        <f t="shared" si="4"/>
        <v>11.526455541837167</v>
      </c>
    </row>
    <row r="18" spans="1:28" s="117" customFormat="1" ht="12.75">
      <c r="A18" s="113">
        <v>2012</v>
      </c>
      <c r="B18" s="114"/>
      <c r="C18" s="114"/>
      <c r="D18" s="114"/>
      <c r="E18" s="114"/>
      <c r="F18" s="114"/>
      <c r="G18" s="114">
        <v>336823</v>
      </c>
      <c r="H18" s="114">
        <v>332890</v>
      </c>
      <c r="I18" s="114"/>
      <c r="J18" s="115">
        <f t="shared" si="2"/>
        <v>669713</v>
      </c>
      <c r="K18" s="114">
        <v>282503</v>
      </c>
      <c r="L18" s="114"/>
      <c r="M18" s="114">
        <v>368302</v>
      </c>
      <c r="N18" s="114">
        <v>46411</v>
      </c>
      <c r="O18" s="114">
        <v>16381</v>
      </c>
      <c r="P18" s="114"/>
      <c r="Q18" s="114">
        <v>16381</v>
      </c>
      <c r="R18" s="115">
        <f t="shared" si="3"/>
        <v>729978</v>
      </c>
      <c r="S18" s="113">
        <v>2012</v>
      </c>
      <c r="T18" s="114"/>
      <c r="U18" s="114"/>
      <c r="V18" s="114"/>
      <c r="W18" s="114"/>
      <c r="X18" s="114"/>
      <c r="Y18" s="114">
        <v>381842</v>
      </c>
      <c r="Z18" s="115">
        <f t="shared" si="0"/>
        <v>381842</v>
      </c>
      <c r="AA18" s="115">
        <f t="shared" si="1"/>
        <v>1781533</v>
      </c>
      <c r="AB18" s="111">
        <f t="shared" si="4"/>
        <v>10.083334399284949</v>
      </c>
    </row>
    <row r="19" spans="1:28" s="117" customFormat="1" ht="12.75">
      <c r="A19" s="113">
        <v>2013</v>
      </c>
      <c r="B19" s="114"/>
      <c r="C19" s="114"/>
      <c r="D19" s="114"/>
      <c r="E19" s="114"/>
      <c r="F19" s="114"/>
      <c r="G19" s="114"/>
      <c r="H19" s="114">
        <v>419875</v>
      </c>
      <c r="I19" s="114"/>
      <c r="J19" s="115">
        <f t="shared" si="2"/>
        <v>419875</v>
      </c>
      <c r="K19" s="114">
        <v>274532</v>
      </c>
      <c r="L19" s="114"/>
      <c r="M19" s="114">
        <v>349182</v>
      </c>
      <c r="N19" s="114"/>
      <c r="O19" s="114"/>
      <c r="P19" s="114"/>
      <c r="Q19" s="114"/>
      <c r="R19" s="115">
        <f t="shared" si="3"/>
        <v>623714</v>
      </c>
      <c r="S19" s="113">
        <v>2013</v>
      </c>
      <c r="T19" s="114"/>
      <c r="U19" s="114"/>
      <c r="V19" s="114"/>
      <c r="W19" s="114"/>
      <c r="X19" s="114"/>
      <c r="Y19" s="114">
        <v>359176</v>
      </c>
      <c r="Z19" s="115">
        <f t="shared" si="0"/>
        <v>359176</v>
      </c>
      <c r="AA19" s="115">
        <f t="shared" si="1"/>
        <v>1402765</v>
      </c>
      <c r="AB19" s="111">
        <f t="shared" si="4"/>
        <v>7.939537790550583</v>
      </c>
    </row>
    <row r="20" spans="1:28" s="117" customFormat="1" ht="12.75">
      <c r="A20" s="113">
        <v>2014</v>
      </c>
      <c r="B20" s="114"/>
      <c r="C20" s="114"/>
      <c r="D20" s="114"/>
      <c r="E20" s="114"/>
      <c r="F20" s="114"/>
      <c r="G20" s="114"/>
      <c r="H20" s="114">
        <v>599325</v>
      </c>
      <c r="I20" s="114"/>
      <c r="J20" s="115">
        <f t="shared" si="2"/>
        <v>599325</v>
      </c>
      <c r="K20" s="114">
        <v>266562</v>
      </c>
      <c r="L20" s="114"/>
      <c r="M20" s="114"/>
      <c r="N20" s="114"/>
      <c r="O20" s="114"/>
      <c r="P20" s="114"/>
      <c r="Q20" s="114"/>
      <c r="R20" s="115">
        <f t="shared" si="3"/>
        <v>266562</v>
      </c>
      <c r="S20" s="113">
        <v>2014</v>
      </c>
      <c r="T20" s="114"/>
      <c r="U20" s="114"/>
      <c r="V20" s="114"/>
      <c r="W20" s="114"/>
      <c r="X20" s="114"/>
      <c r="Y20" s="114">
        <v>101077</v>
      </c>
      <c r="Z20" s="115">
        <f t="shared" si="0"/>
        <v>101077</v>
      </c>
      <c r="AA20" s="115">
        <f t="shared" si="1"/>
        <v>966964</v>
      </c>
      <c r="AB20" s="111">
        <f t="shared" si="4"/>
        <v>5.47293895991271</v>
      </c>
    </row>
    <row r="21" spans="1:28" s="117" customFormat="1" ht="12.75">
      <c r="A21" s="113">
        <v>2015</v>
      </c>
      <c r="B21" s="114"/>
      <c r="C21" s="114"/>
      <c r="D21" s="114"/>
      <c r="E21" s="114"/>
      <c r="F21" s="114"/>
      <c r="G21" s="114"/>
      <c r="H21" s="114">
        <v>571925</v>
      </c>
      <c r="I21" s="114">
        <v>18462</v>
      </c>
      <c r="J21" s="115">
        <f t="shared" si="2"/>
        <v>590387</v>
      </c>
      <c r="K21" s="114">
        <v>258591</v>
      </c>
      <c r="L21" s="114"/>
      <c r="M21" s="114"/>
      <c r="N21" s="114"/>
      <c r="O21" s="114"/>
      <c r="P21" s="114"/>
      <c r="Q21" s="114"/>
      <c r="R21" s="115">
        <f t="shared" si="3"/>
        <v>258591</v>
      </c>
      <c r="S21" s="113">
        <v>2015</v>
      </c>
      <c r="T21" s="114"/>
      <c r="U21" s="114"/>
      <c r="V21" s="114"/>
      <c r="W21" s="114"/>
      <c r="X21" s="114"/>
      <c r="Y21" s="114"/>
      <c r="Z21" s="115"/>
      <c r="AA21" s="115">
        <f t="shared" si="1"/>
        <v>848978</v>
      </c>
      <c r="AB21" s="111">
        <f t="shared" si="4"/>
        <v>4.805147629393414</v>
      </c>
    </row>
    <row r="22" spans="1:28" s="117" customFormat="1" ht="12.75">
      <c r="A22" s="118">
        <v>2016</v>
      </c>
      <c r="B22" s="114"/>
      <c r="C22" s="114"/>
      <c r="D22" s="114"/>
      <c r="E22" s="114"/>
      <c r="F22" s="114"/>
      <c r="G22" s="114"/>
      <c r="H22" s="114">
        <v>544525</v>
      </c>
      <c r="I22" s="114">
        <v>18462</v>
      </c>
      <c r="J22" s="115">
        <f t="shared" si="2"/>
        <v>562987</v>
      </c>
      <c r="K22" s="114">
        <v>329482</v>
      </c>
      <c r="L22" s="114"/>
      <c r="M22" s="114"/>
      <c r="N22" s="114"/>
      <c r="O22" s="114"/>
      <c r="P22" s="114"/>
      <c r="Q22" s="114"/>
      <c r="R22" s="115">
        <f t="shared" si="3"/>
        <v>329482</v>
      </c>
      <c r="S22" s="118">
        <v>2016</v>
      </c>
      <c r="T22" s="114"/>
      <c r="U22" s="114"/>
      <c r="V22" s="114"/>
      <c r="W22" s="114"/>
      <c r="X22" s="114"/>
      <c r="Y22" s="114"/>
      <c r="Z22" s="115"/>
      <c r="AA22" s="115">
        <f t="shared" si="1"/>
        <v>892469</v>
      </c>
      <c r="AB22" s="111">
        <f t="shared" si="4"/>
        <v>5.0513032135781035</v>
      </c>
    </row>
    <row r="23" spans="1:28" s="117" customFormat="1" ht="12.75">
      <c r="A23" s="118">
        <v>2017</v>
      </c>
      <c r="B23" s="119"/>
      <c r="C23" s="119"/>
      <c r="D23" s="119"/>
      <c r="E23" s="119"/>
      <c r="F23" s="119"/>
      <c r="G23" s="119"/>
      <c r="H23" s="114">
        <v>515070</v>
      </c>
      <c r="I23" s="119"/>
      <c r="J23" s="115">
        <f t="shared" si="2"/>
        <v>515070</v>
      </c>
      <c r="K23" s="114">
        <v>315367</v>
      </c>
      <c r="L23" s="114"/>
      <c r="M23" s="114"/>
      <c r="N23" s="114"/>
      <c r="O23" s="114"/>
      <c r="P23" s="114"/>
      <c r="Q23" s="114"/>
      <c r="R23" s="115">
        <f t="shared" si="3"/>
        <v>315367</v>
      </c>
      <c r="S23" s="118">
        <v>2017</v>
      </c>
      <c r="T23" s="114"/>
      <c r="U23" s="114"/>
      <c r="V23" s="114"/>
      <c r="W23" s="114"/>
      <c r="X23" s="114"/>
      <c r="Y23" s="114"/>
      <c r="Z23" s="115"/>
      <c r="AA23" s="115">
        <f t="shared" si="1"/>
        <v>830437</v>
      </c>
      <c r="AB23" s="111">
        <f t="shared" si="4"/>
        <v>4.7002070511963545</v>
      </c>
    </row>
    <row r="24" spans="1:28" s="117" customFormat="1" ht="12.75">
      <c r="A24" s="118">
        <v>2018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14">
        <v>304431</v>
      </c>
      <c r="L24" s="114"/>
      <c r="M24" s="114"/>
      <c r="N24" s="114"/>
      <c r="O24" s="114"/>
      <c r="P24" s="114"/>
      <c r="Q24" s="114"/>
      <c r="R24" s="115">
        <f t="shared" si="3"/>
        <v>304431</v>
      </c>
      <c r="S24" s="118">
        <v>2018</v>
      </c>
      <c r="T24" s="114"/>
      <c r="U24" s="114"/>
      <c r="V24" s="114"/>
      <c r="W24" s="114"/>
      <c r="X24" s="114"/>
      <c r="Y24" s="114"/>
      <c r="Z24" s="115"/>
      <c r="AA24" s="115">
        <f t="shared" si="1"/>
        <v>304431</v>
      </c>
      <c r="AB24" s="111">
        <f>AA24/17668094*100</f>
        <v>1.7230551297723458</v>
      </c>
    </row>
    <row r="25" spans="1:28" s="117" customFormat="1" ht="12.75">
      <c r="A25" s="118">
        <v>2019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14">
        <v>291906</v>
      </c>
      <c r="L25" s="114"/>
      <c r="M25" s="114"/>
      <c r="N25" s="114"/>
      <c r="O25" s="114"/>
      <c r="P25" s="114"/>
      <c r="Q25" s="114"/>
      <c r="R25" s="115">
        <f t="shared" si="3"/>
        <v>291906</v>
      </c>
      <c r="S25" s="118">
        <v>2019</v>
      </c>
      <c r="T25" s="114"/>
      <c r="U25" s="114"/>
      <c r="V25" s="114"/>
      <c r="W25" s="114"/>
      <c r="X25" s="114"/>
      <c r="Y25" s="114"/>
      <c r="Z25" s="115"/>
      <c r="AA25" s="115">
        <f t="shared" si="1"/>
        <v>291906</v>
      </c>
      <c r="AB25" s="111">
        <f t="shared" si="4"/>
        <v>1.6521646307745477</v>
      </c>
    </row>
    <row r="26" spans="1:28" s="117" customFormat="1" ht="12.75">
      <c r="A26" s="118">
        <v>2020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14">
        <v>279380</v>
      </c>
      <c r="L26" s="114"/>
      <c r="M26" s="114"/>
      <c r="N26" s="114"/>
      <c r="O26" s="114"/>
      <c r="P26" s="114"/>
      <c r="Q26" s="114"/>
      <c r="R26" s="115">
        <f t="shared" si="3"/>
        <v>279380</v>
      </c>
      <c r="S26" s="118">
        <v>2020</v>
      </c>
      <c r="T26" s="114"/>
      <c r="U26" s="114"/>
      <c r="V26" s="114"/>
      <c r="W26" s="114"/>
      <c r="X26" s="114"/>
      <c r="Y26" s="114"/>
      <c r="Z26" s="115"/>
      <c r="AA26" s="115">
        <f t="shared" si="1"/>
        <v>279380</v>
      </c>
      <c r="AB26" s="111">
        <f t="shared" si="4"/>
        <v>1.5812684718566699</v>
      </c>
    </row>
    <row r="27" spans="1:28" s="117" customFormat="1" ht="12.75">
      <c r="A27" s="118">
        <v>2021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14">
        <v>266855</v>
      </c>
      <c r="L27" s="114"/>
      <c r="M27" s="114"/>
      <c r="N27" s="114"/>
      <c r="O27" s="114"/>
      <c r="P27" s="114"/>
      <c r="Q27" s="114"/>
      <c r="R27" s="115">
        <f t="shared" si="3"/>
        <v>266855</v>
      </c>
      <c r="S27" s="118">
        <v>2021</v>
      </c>
      <c r="T27" s="114"/>
      <c r="U27" s="114"/>
      <c r="V27" s="114"/>
      <c r="W27" s="114"/>
      <c r="X27" s="114"/>
      <c r="Y27" s="114"/>
      <c r="Z27" s="115"/>
      <c r="AA27" s="115">
        <f t="shared" si="1"/>
        <v>266855</v>
      </c>
      <c r="AB27" s="111">
        <f t="shared" si="4"/>
        <v>1.510377972858872</v>
      </c>
    </row>
    <row r="28" spans="1:28" s="117" customFormat="1" ht="12.75">
      <c r="A28" s="118">
        <v>2022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14">
        <v>254330</v>
      </c>
      <c r="L28" s="114"/>
      <c r="M28" s="114"/>
      <c r="N28" s="114"/>
      <c r="O28" s="114"/>
      <c r="P28" s="114"/>
      <c r="Q28" s="114"/>
      <c r="R28" s="115">
        <f t="shared" si="3"/>
        <v>254330</v>
      </c>
      <c r="S28" s="118">
        <v>2022</v>
      </c>
      <c r="T28" s="114"/>
      <c r="U28" s="114"/>
      <c r="V28" s="114"/>
      <c r="W28" s="114"/>
      <c r="X28" s="114"/>
      <c r="Y28" s="114"/>
      <c r="Z28" s="115"/>
      <c r="AA28" s="115">
        <f t="shared" si="1"/>
        <v>254330</v>
      </c>
      <c r="AB28" s="111">
        <f t="shared" si="4"/>
        <v>1.4394874738610741</v>
      </c>
    </row>
    <row r="29" spans="1:28" s="117" customFormat="1" ht="12.75">
      <c r="A29" s="118">
        <v>2023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14">
        <v>241804</v>
      </c>
      <c r="L29" s="114"/>
      <c r="M29" s="114"/>
      <c r="N29" s="114"/>
      <c r="O29" s="114"/>
      <c r="P29" s="114"/>
      <c r="Q29" s="114"/>
      <c r="R29" s="115">
        <f t="shared" si="3"/>
        <v>241804</v>
      </c>
      <c r="S29" s="118">
        <v>2023</v>
      </c>
      <c r="T29" s="114"/>
      <c r="U29" s="114"/>
      <c r="V29" s="114"/>
      <c r="W29" s="114"/>
      <c r="X29" s="114"/>
      <c r="Y29" s="114"/>
      <c r="Z29" s="115"/>
      <c r="AA29" s="115">
        <f t="shared" si="1"/>
        <v>241804</v>
      </c>
      <c r="AB29" s="111">
        <f t="shared" si="4"/>
        <v>1.3685913149431965</v>
      </c>
    </row>
    <row r="30" spans="1:28" s="117" customFormat="1" ht="12.75">
      <c r="A30" s="118">
        <v>2024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14">
        <v>227291</v>
      </c>
      <c r="L30" s="119"/>
      <c r="M30" s="119"/>
      <c r="N30" s="119"/>
      <c r="O30" s="119"/>
      <c r="P30" s="119"/>
      <c r="Q30" s="114"/>
      <c r="R30" s="115">
        <f t="shared" si="3"/>
        <v>227291</v>
      </c>
      <c r="S30" s="118">
        <v>2024</v>
      </c>
      <c r="T30" s="114"/>
      <c r="U30" s="114"/>
      <c r="V30" s="114"/>
      <c r="W30" s="114"/>
      <c r="X30" s="114"/>
      <c r="Y30" s="114"/>
      <c r="Z30" s="115"/>
      <c r="AA30" s="115">
        <f t="shared" si="1"/>
        <v>227291</v>
      </c>
      <c r="AB30" s="111">
        <f t="shared" si="4"/>
        <v>1.2864488948270254</v>
      </c>
    </row>
    <row r="31" spans="2:26" ht="12.75">
      <c r="B31" s="10" t="s">
        <v>247</v>
      </c>
      <c r="K31" s="92"/>
      <c r="L31" s="92"/>
      <c r="M31" s="92"/>
      <c r="N31" s="92"/>
      <c r="O31" s="92"/>
      <c r="P31" s="92"/>
      <c r="Q31" s="92"/>
      <c r="S31" s="122"/>
      <c r="T31" s="123"/>
      <c r="U31" s="123"/>
      <c r="V31" s="123"/>
      <c r="W31" s="123"/>
      <c r="X31" s="123"/>
      <c r="Y31" s="123"/>
      <c r="Z31" s="124"/>
    </row>
    <row r="32" spans="11:26" ht="12.75">
      <c r="K32" s="92"/>
      <c r="L32" s="92"/>
      <c r="M32" s="92"/>
      <c r="N32" s="92"/>
      <c r="O32" s="92"/>
      <c r="P32" s="92"/>
      <c r="Q32" s="92"/>
      <c r="S32" s="122"/>
      <c r="T32" s="123"/>
      <c r="U32" s="123"/>
      <c r="V32" s="123"/>
      <c r="W32" s="123"/>
      <c r="X32" s="123"/>
      <c r="Y32" s="123"/>
      <c r="Z32" s="124"/>
    </row>
    <row r="33" spans="11:28" ht="12.75">
      <c r="K33" s="92"/>
      <c r="L33" s="92"/>
      <c r="M33" s="92"/>
      <c r="N33" s="92"/>
      <c r="O33" s="92"/>
      <c r="P33" s="92"/>
      <c r="Q33" s="92"/>
      <c r="R33" s="148"/>
      <c r="S33" s="123"/>
      <c r="T33" s="148" t="s">
        <v>35</v>
      </c>
      <c r="U33" s="123"/>
      <c r="V33" s="123"/>
      <c r="W33" s="125"/>
      <c r="X33" s="125"/>
      <c r="Y33" s="125"/>
      <c r="Z33" s="10" t="s">
        <v>36</v>
      </c>
      <c r="AA33" s="125"/>
      <c r="AB33" s="125"/>
    </row>
    <row r="34" spans="11:26" ht="12.75">
      <c r="K34" s="92"/>
      <c r="L34" s="92"/>
      <c r="M34" s="92"/>
      <c r="N34" s="92"/>
      <c r="O34" s="92"/>
      <c r="P34" s="92"/>
      <c r="Q34" s="92"/>
      <c r="S34" s="122"/>
      <c r="T34" s="123"/>
      <c r="U34" s="123"/>
      <c r="V34" s="123"/>
      <c r="W34" s="123"/>
      <c r="X34" s="123"/>
      <c r="Y34" s="123"/>
      <c r="Z34" s="124"/>
    </row>
    <row r="35" spans="11:26" ht="12.75">
      <c r="K35" s="47"/>
      <c r="L35" s="47"/>
      <c r="M35" s="47"/>
      <c r="N35" s="47"/>
      <c r="O35" s="47"/>
      <c r="P35" s="47"/>
      <c r="Q35" s="47"/>
      <c r="R35" s="22"/>
      <c r="S35" s="122"/>
      <c r="T35" s="123"/>
      <c r="U35" s="123"/>
      <c r="V35" s="123"/>
      <c r="W35" s="123"/>
      <c r="X35" s="123"/>
      <c r="Y35" s="123"/>
      <c r="Z35" s="124"/>
    </row>
    <row r="36" spans="11:26" ht="12.75">
      <c r="K36" s="92"/>
      <c r="L36" s="92"/>
      <c r="M36" s="92"/>
      <c r="N36" s="92"/>
      <c r="O36" s="92"/>
      <c r="P36" s="92"/>
      <c r="Q36" s="92"/>
      <c r="S36" s="122"/>
      <c r="T36" s="123"/>
      <c r="U36" s="123"/>
      <c r="V36" s="123"/>
      <c r="W36" s="123"/>
      <c r="X36" s="123"/>
      <c r="Y36" s="123"/>
      <c r="Z36" s="124"/>
    </row>
    <row r="37" spans="11:26" ht="12.75">
      <c r="K37" s="92"/>
      <c r="L37" s="92"/>
      <c r="M37" s="92"/>
      <c r="N37" s="92"/>
      <c r="O37" s="92"/>
      <c r="P37" s="92"/>
      <c r="Q37" s="92"/>
      <c r="S37" s="122"/>
      <c r="T37" s="123"/>
      <c r="U37" s="126"/>
      <c r="V37" s="126"/>
      <c r="W37" s="126"/>
      <c r="X37" s="126"/>
      <c r="Y37" s="126"/>
      <c r="Z37" s="124"/>
    </row>
    <row r="38" spans="4:26" ht="12.75">
      <c r="D38" s="127"/>
      <c r="S38" s="128"/>
      <c r="T38" s="124"/>
      <c r="U38" s="124"/>
      <c r="V38" s="124"/>
      <c r="W38" s="124"/>
      <c r="X38" s="124"/>
      <c r="Y38" s="124"/>
      <c r="Z38" s="92"/>
    </row>
    <row r="39" spans="19:25" ht="12.75">
      <c r="S39" s="122"/>
      <c r="T39" s="92"/>
      <c r="U39" s="92"/>
      <c r="V39" s="92"/>
      <c r="W39" s="92"/>
      <c r="X39" s="92"/>
      <c r="Y39" s="92"/>
    </row>
    <row r="40" ht="12.75">
      <c r="D40" s="129"/>
    </row>
  </sheetData>
  <mergeCells count="31">
    <mergeCell ref="A8:J8"/>
    <mergeCell ref="K8:R8"/>
    <mergeCell ref="S8:Z8"/>
    <mergeCell ref="AA8:AA10"/>
    <mergeCell ref="J9:J10"/>
    <mergeCell ref="K9:K10"/>
    <mergeCell ref="L9:L10"/>
    <mergeCell ref="M9:M10"/>
    <mergeCell ref="N9:N10"/>
    <mergeCell ref="O9:O10"/>
    <mergeCell ref="AB8:AB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P9:P10"/>
    <mergeCell ref="Q9:Q10"/>
    <mergeCell ref="R9:R10"/>
    <mergeCell ref="S9:S10"/>
    <mergeCell ref="X9:X10"/>
    <mergeCell ref="Y9:Y10"/>
    <mergeCell ref="Z9:Z10"/>
    <mergeCell ref="T9:T10"/>
    <mergeCell ref="U9:U10"/>
    <mergeCell ref="V9:V10"/>
    <mergeCell ref="W9:W10"/>
  </mergeCells>
  <printOptions/>
  <pageMargins left="0.23" right="0.2" top="0.31" bottom="0.35" header="0.19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C4" sqref="C4"/>
    </sheetView>
  </sheetViews>
  <sheetFormatPr defaultColWidth="9.00390625" defaultRowHeight="12"/>
  <cols>
    <col min="1" max="1" width="2.375" style="10" customWidth="1"/>
    <col min="2" max="2" width="13.50390625" style="10" customWidth="1"/>
    <col min="3" max="3" width="58.625" style="10" customWidth="1"/>
    <col min="4" max="4" width="13.875" style="10" hidden="1" customWidth="1"/>
    <col min="5" max="5" width="10.875" style="10" customWidth="1"/>
    <col min="6" max="6" width="13.375" style="10" customWidth="1"/>
    <col min="7" max="7" width="14.00390625" style="10" customWidth="1"/>
    <col min="8" max="16384" width="9.375" style="10" customWidth="1"/>
  </cols>
  <sheetData>
    <row r="1" spans="5:7" s="1" customFormat="1" ht="11.25">
      <c r="E1" s="3"/>
      <c r="F1" s="3" t="s">
        <v>218</v>
      </c>
      <c r="G1" s="3"/>
    </row>
    <row r="2" s="1" customFormat="1" ht="11.25">
      <c r="F2" s="1" t="s">
        <v>254</v>
      </c>
    </row>
    <row r="3" s="1" customFormat="1" ht="11.25">
      <c r="F3" s="1" t="s">
        <v>249</v>
      </c>
    </row>
    <row r="4" s="1" customFormat="1" ht="11.25">
      <c r="F4" s="1" t="s">
        <v>256</v>
      </c>
    </row>
    <row r="6" spans="2:6" s="82" customFormat="1" ht="30.75" customHeight="1">
      <c r="B6" s="191" t="s">
        <v>233</v>
      </c>
      <c r="C6" s="191"/>
      <c r="D6" s="191"/>
      <c r="E6" s="191"/>
      <c r="F6" s="191"/>
    </row>
    <row r="7" spans="2:5" ht="14.25">
      <c r="B7" s="207"/>
      <c r="C7" s="207"/>
      <c r="D7" s="207"/>
      <c r="E7" s="207"/>
    </row>
    <row r="8" spans="2:7" s="12" customFormat="1" ht="53.25" customHeight="1">
      <c r="B8" s="29" t="s">
        <v>39</v>
      </c>
      <c r="C8" s="35" t="s">
        <v>151</v>
      </c>
      <c r="D8" s="135"/>
      <c r="E8" s="35" t="s">
        <v>163</v>
      </c>
      <c r="F8" s="35" t="s">
        <v>152</v>
      </c>
      <c r="G8" s="35" t="s">
        <v>182</v>
      </c>
    </row>
    <row r="9" spans="2:3" ht="12.75">
      <c r="B9" s="92"/>
      <c r="C9" s="92"/>
    </row>
    <row r="10" spans="2:7" ht="12.75">
      <c r="B10" s="132"/>
      <c r="C10" s="132" t="s">
        <v>219</v>
      </c>
      <c r="E10" s="136">
        <f>E11</f>
        <v>820739</v>
      </c>
      <c r="F10" s="136">
        <f>F11</f>
        <v>76951</v>
      </c>
      <c r="G10" s="136">
        <f>G11</f>
        <v>897690</v>
      </c>
    </row>
    <row r="11" spans="2:7" s="22" customFormat="1" ht="12">
      <c r="B11" s="69"/>
      <c r="C11" s="69" t="s">
        <v>220</v>
      </c>
      <c r="E11" s="137">
        <f>E12+E13+E14+E15</f>
        <v>820739</v>
      </c>
      <c r="F11" s="137">
        <f>F12+F13+F14+F15</f>
        <v>76951</v>
      </c>
      <c r="G11" s="137">
        <f>G12+G13+G14+G15</f>
        <v>897690</v>
      </c>
    </row>
    <row r="12" spans="2:7" s="1" customFormat="1" ht="11.25">
      <c r="B12" s="34"/>
      <c r="C12" s="34" t="s">
        <v>12</v>
      </c>
      <c r="E12" s="138">
        <f>52652+17000</f>
        <v>69652</v>
      </c>
      <c r="F12" s="138">
        <v>36000</v>
      </c>
      <c r="G12" s="138">
        <f>SUM(E12:F12)</f>
        <v>105652</v>
      </c>
    </row>
    <row r="13" spans="2:7" s="1" customFormat="1" ht="11.25">
      <c r="B13" s="34"/>
      <c r="C13" s="34" t="s">
        <v>13</v>
      </c>
      <c r="E13" s="138">
        <v>20000</v>
      </c>
      <c r="F13" s="138"/>
      <c r="G13" s="138">
        <f>SUM(E13:F13)</f>
        <v>20000</v>
      </c>
    </row>
    <row r="14" spans="2:7" s="1" customFormat="1" ht="11.25">
      <c r="B14" s="34"/>
      <c r="C14" s="34" t="s">
        <v>14</v>
      </c>
      <c r="E14" s="138">
        <v>660396</v>
      </c>
      <c r="F14" s="138">
        <v>40951</v>
      </c>
      <c r="G14" s="138">
        <f>SUM(E14:F14)</f>
        <v>701347</v>
      </c>
    </row>
    <row r="15" spans="2:7" s="1" customFormat="1" ht="11.25">
      <c r="B15" s="34"/>
      <c r="C15" s="34" t="s">
        <v>221</v>
      </c>
      <c r="E15" s="138">
        <v>70691</v>
      </c>
      <c r="F15" s="138"/>
      <c r="G15" s="138">
        <f>SUM(E15:F15)</f>
        <v>70691</v>
      </c>
    </row>
    <row r="16" spans="2:7" ht="12" customHeight="1">
      <c r="B16" s="91"/>
      <c r="C16" s="91"/>
      <c r="E16" s="144"/>
      <c r="F16" s="144"/>
      <c r="G16" s="144"/>
    </row>
    <row r="17" spans="2:7" ht="14.25" customHeight="1">
      <c r="B17" s="132"/>
      <c r="C17" s="132" t="s">
        <v>223</v>
      </c>
      <c r="E17" s="136">
        <f>E18</f>
        <v>849162</v>
      </c>
      <c r="F17" s="136">
        <f>F18</f>
        <v>76951</v>
      </c>
      <c r="G17" s="136">
        <f>G18</f>
        <v>926113</v>
      </c>
    </row>
    <row r="18" spans="2:7" s="22" customFormat="1" ht="14.25" customHeight="1">
      <c r="B18" s="69"/>
      <c r="C18" s="69" t="s">
        <v>224</v>
      </c>
      <c r="E18" s="137">
        <f>SUM(E19:E23)</f>
        <v>849162</v>
      </c>
      <c r="F18" s="137">
        <f>SUM(F19:F23)</f>
        <v>76951</v>
      </c>
      <c r="G18" s="137">
        <f>SUM(G19:G23)</f>
        <v>926113</v>
      </c>
    </row>
    <row r="19" spans="2:7" s="1" customFormat="1" ht="12" customHeight="1">
      <c r="B19" s="34"/>
      <c r="C19" s="34" t="s">
        <v>12</v>
      </c>
      <c r="E19" s="138">
        <f>76818+17000</f>
        <v>93818</v>
      </c>
      <c r="F19" s="138">
        <v>36000</v>
      </c>
      <c r="G19" s="138">
        <f>SUM(E19:F19)</f>
        <v>129818</v>
      </c>
    </row>
    <row r="20" spans="2:7" s="1" customFormat="1" ht="12" customHeight="1">
      <c r="B20" s="34"/>
      <c r="C20" s="34" t="s">
        <v>13</v>
      </c>
      <c r="E20" s="138">
        <v>20008</v>
      </c>
      <c r="F20" s="138"/>
      <c r="G20" s="138">
        <f>SUM(E20:F20)</f>
        <v>20008</v>
      </c>
    </row>
    <row r="21" spans="2:7" s="1" customFormat="1" ht="12" customHeight="1">
      <c r="B21" s="34"/>
      <c r="C21" s="34" t="s">
        <v>14</v>
      </c>
      <c r="E21" s="41">
        <v>660396</v>
      </c>
      <c r="F21" s="41">
        <v>40951</v>
      </c>
      <c r="G21" s="138">
        <f>SUM(E21:F21)</f>
        <v>701347</v>
      </c>
    </row>
    <row r="22" spans="2:7" s="1" customFormat="1" ht="12.75" customHeight="1">
      <c r="B22" s="34"/>
      <c r="C22" s="34" t="s">
        <v>221</v>
      </c>
      <c r="E22" s="41">
        <v>70691</v>
      </c>
      <c r="F22" s="41"/>
      <c r="G22" s="138">
        <f>SUM(E22:F22)</f>
        <v>70691</v>
      </c>
    </row>
    <row r="23" spans="1:7" s="1" customFormat="1" ht="12.75" customHeight="1">
      <c r="A23" s="34"/>
      <c r="B23" s="34"/>
      <c r="C23" s="34" t="s">
        <v>222</v>
      </c>
      <c r="D23" s="34"/>
      <c r="E23" s="41">
        <v>4249</v>
      </c>
      <c r="F23" s="41"/>
      <c r="G23" s="138">
        <f>SUM(E23:F23)</f>
        <v>4249</v>
      </c>
    </row>
    <row r="24" spans="2:7" ht="12.75">
      <c r="B24" s="92"/>
      <c r="C24" s="92"/>
      <c r="E24" s="26"/>
      <c r="F24" s="26"/>
      <c r="G24" s="26"/>
    </row>
    <row r="25" spans="2:7" ht="12.75">
      <c r="B25" s="132"/>
      <c r="C25" s="132" t="s">
        <v>225</v>
      </c>
      <c r="E25" s="139">
        <f>SUM(E26+E27+E28+E29+E30+E31+E32+E33+E34)</f>
        <v>849162</v>
      </c>
      <c r="F25" s="139">
        <f>SUM(F26+F27+F28+F29+F30+F31+F32+F33+F34)</f>
        <v>76951</v>
      </c>
      <c r="G25" s="139">
        <f>SUM(G26+G27+G28+G29+G30+G31+G32+G33+G34)</f>
        <v>926113</v>
      </c>
    </row>
    <row r="26" spans="2:7" s="1" customFormat="1" ht="11.25">
      <c r="B26" s="28" t="s">
        <v>118</v>
      </c>
      <c r="C26" s="1" t="s">
        <v>119</v>
      </c>
      <c r="E26" s="130">
        <f>30653+7000</f>
        <v>37653</v>
      </c>
      <c r="F26" s="130">
        <v>4815</v>
      </c>
      <c r="G26" s="130">
        <f>SUM(E26:F26)</f>
        <v>42468</v>
      </c>
    </row>
    <row r="27" spans="2:7" s="1" customFormat="1" ht="11.25">
      <c r="B27" s="28" t="s">
        <v>122</v>
      </c>
      <c r="C27" s="1" t="s">
        <v>123</v>
      </c>
      <c r="E27" s="130">
        <v>4000</v>
      </c>
      <c r="F27" s="130">
        <v>2000</v>
      </c>
      <c r="G27" s="130">
        <f aca="true" t="shared" si="0" ref="G27:G34">SUM(E27:F27)</f>
        <v>6000</v>
      </c>
    </row>
    <row r="28" spans="2:7" s="1" customFormat="1" ht="11.25">
      <c r="B28" s="28" t="s">
        <v>124</v>
      </c>
      <c r="C28" s="1" t="s">
        <v>125</v>
      </c>
      <c r="E28" s="130">
        <f>3610+100</f>
        <v>3710</v>
      </c>
      <c r="F28" s="130">
        <v>20000</v>
      </c>
      <c r="G28" s="130">
        <f t="shared" si="0"/>
        <v>23710</v>
      </c>
    </row>
    <row r="29" spans="2:7" s="1" customFormat="1" ht="11.25">
      <c r="B29" s="28" t="s">
        <v>126</v>
      </c>
      <c r="C29" s="1" t="s">
        <v>226</v>
      </c>
      <c r="E29" s="130">
        <v>600</v>
      </c>
      <c r="F29" s="130"/>
      <c r="G29" s="130">
        <f t="shared" si="0"/>
        <v>600</v>
      </c>
    </row>
    <row r="30" spans="2:7" s="1" customFormat="1" ht="11.25">
      <c r="B30" s="28" t="s">
        <v>128</v>
      </c>
      <c r="C30" s="1" t="s">
        <v>227</v>
      </c>
      <c r="E30" s="130">
        <v>20008</v>
      </c>
      <c r="F30" s="130">
        <v>1733</v>
      </c>
      <c r="G30" s="130">
        <f t="shared" si="0"/>
        <v>21741</v>
      </c>
    </row>
    <row r="31" spans="2:7" s="1" customFormat="1" ht="11.25">
      <c r="B31" s="28" t="s">
        <v>130</v>
      </c>
      <c r="C31" s="1" t="s">
        <v>131</v>
      </c>
      <c r="E31" s="130">
        <v>32249</v>
      </c>
      <c r="F31" s="130">
        <v>4000</v>
      </c>
      <c r="G31" s="130">
        <f t="shared" si="0"/>
        <v>36249</v>
      </c>
    </row>
    <row r="32" spans="2:7" s="1" customFormat="1" ht="11.25">
      <c r="B32" s="28" t="s">
        <v>134</v>
      </c>
      <c r="C32" s="1" t="s">
        <v>135</v>
      </c>
      <c r="E32" s="130">
        <v>731087</v>
      </c>
      <c r="F32" s="130">
        <v>40951</v>
      </c>
      <c r="G32" s="130">
        <f t="shared" si="0"/>
        <v>772038</v>
      </c>
    </row>
    <row r="33" spans="2:7" s="1" customFormat="1" ht="11.25">
      <c r="B33" s="28" t="s">
        <v>136</v>
      </c>
      <c r="C33" s="1" t="s">
        <v>137</v>
      </c>
      <c r="E33" s="130">
        <f>8550+3751</f>
        <v>12301</v>
      </c>
      <c r="F33" s="130"/>
      <c r="G33" s="130">
        <f t="shared" si="0"/>
        <v>12301</v>
      </c>
    </row>
    <row r="34" spans="2:7" s="1" customFormat="1" ht="11.25">
      <c r="B34" s="28" t="s">
        <v>140</v>
      </c>
      <c r="C34" s="1" t="s">
        <v>141</v>
      </c>
      <c r="E34" s="130">
        <f>1405+6149</f>
        <v>7554</v>
      </c>
      <c r="F34" s="130">
        <v>3452</v>
      </c>
      <c r="G34" s="130">
        <f t="shared" si="0"/>
        <v>11006</v>
      </c>
    </row>
    <row r="35" spans="5:7" ht="12.75">
      <c r="E35" s="26"/>
      <c r="F35" s="26"/>
      <c r="G35" s="26"/>
    </row>
    <row r="36" spans="3:7" s="140" customFormat="1" ht="12.75">
      <c r="C36" s="141" t="s">
        <v>228</v>
      </c>
      <c r="D36" s="141"/>
      <c r="E36" s="142">
        <f>E10-E17</f>
        <v>-28423</v>
      </c>
      <c r="F36" s="142">
        <f>F10-F17</f>
        <v>0</v>
      </c>
      <c r="G36" s="142">
        <f>G10-G17</f>
        <v>-28423</v>
      </c>
    </row>
    <row r="37" spans="3:7" ht="12.75">
      <c r="C37" s="12" t="s">
        <v>229</v>
      </c>
      <c r="E37" s="139">
        <f>E38</f>
        <v>28423</v>
      </c>
      <c r="F37" s="139">
        <f>F38</f>
        <v>0</v>
      </c>
      <c r="G37" s="139">
        <f>G38</f>
        <v>28423</v>
      </c>
    </row>
    <row r="38" spans="3:7" s="1" customFormat="1" ht="11.25">
      <c r="C38" s="1" t="s">
        <v>31</v>
      </c>
      <c r="E38" s="130">
        <f>SUM(E39:E40)</f>
        <v>28423</v>
      </c>
      <c r="F38" s="130">
        <f>SUM(F39:F40)</f>
        <v>0</v>
      </c>
      <c r="G38" s="130">
        <f>SUM(G39:G40)</f>
        <v>28423</v>
      </c>
    </row>
    <row r="39" spans="3:7" s="1" customFormat="1" ht="11.25">
      <c r="C39" s="24" t="s">
        <v>230</v>
      </c>
      <c r="E39" s="143">
        <v>28423</v>
      </c>
      <c r="F39" s="143"/>
      <c r="G39" s="143">
        <f>SUM(E39:F39)</f>
        <v>28423</v>
      </c>
    </row>
    <row r="40" spans="3:7" s="1" customFormat="1" ht="11.25">
      <c r="C40" s="24" t="s">
        <v>231</v>
      </c>
      <c r="E40" s="143">
        <v>0</v>
      </c>
      <c r="F40" s="143"/>
      <c r="G40" s="143">
        <f>SUM(E40:F40)</f>
        <v>0</v>
      </c>
    </row>
    <row r="44" spans="2:6" ht="12.75">
      <c r="B44" s="10" t="s">
        <v>232</v>
      </c>
      <c r="F44" s="10" t="s">
        <v>36</v>
      </c>
    </row>
  </sheetData>
  <mergeCells count="2">
    <mergeCell ref="B7:E7"/>
    <mergeCell ref="B6:F6"/>
  </mergeCells>
  <printOptions/>
  <pageMargins left="0.5" right="0.19" top="0.32" bottom="1" header="0.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G6" sqref="G6"/>
    </sheetView>
  </sheetViews>
  <sheetFormatPr defaultColWidth="9.00390625" defaultRowHeight="12"/>
  <cols>
    <col min="1" max="1" width="13.625" style="22" customWidth="1"/>
    <col min="2" max="2" width="7.50390625" style="22" customWidth="1"/>
    <col min="3" max="3" width="52.50390625" style="22" customWidth="1"/>
    <col min="4" max="4" width="0.12890625" style="22" hidden="1" customWidth="1"/>
    <col min="5" max="5" width="14.50390625" style="22" customWidth="1"/>
    <col min="6" max="6" width="15.125" style="22" customWidth="1"/>
    <col min="7" max="7" width="14.50390625" style="22" customWidth="1"/>
    <col min="8" max="16384" width="9.375" style="22" customWidth="1"/>
  </cols>
  <sheetData>
    <row r="1" spans="1:7" ht="12.75">
      <c r="A1" s="133"/>
      <c r="B1" s="10"/>
      <c r="C1" s="10"/>
      <c r="D1" s="3"/>
      <c r="E1" s="3"/>
      <c r="F1" s="3" t="s">
        <v>234</v>
      </c>
      <c r="G1" s="18"/>
    </row>
    <row r="2" spans="1:7" ht="12.75">
      <c r="A2" s="133"/>
      <c r="B2" s="10"/>
      <c r="C2" s="10"/>
      <c r="D2" s="1"/>
      <c r="E2" s="1"/>
      <c r="F2" s="1" t="s">
        <v>248</v>
      </c>
      <c r="G2" s="18"/>
    </row>
    <row r="3" spans="1:7" ht="12.75">
      <c r="A3" s="133"/>
      <c r="B3" s="10"/>
      <c r="C3" s="10"/>
      <c r="D3" s="1"/>
      <c r="E3" s="1"/>
      <c r="F3" s="1" t="s">
        <v>249</v>
      </c>
      <c r="G3" s="18"/>
    </row>
    <row r="4" spans="1:7" ht="12.75">
      <c r="A4" s="133"/>
      <c r="B4" s="10"/>
      <c r="C4" s="10"/>
      <c r="D4" s="1"/>
      <c r="E4" s="1"/>
      <c r="F4" s="1" t="s">
        <v>257</v>
      </c>
      <c r="G4" s="18"/>
    </row>
    <row r="5" spans="1:7" ht="12.75">
      <c r="A5" s="133"/>
      <c r="B5" s="10"/>
      <c r="C5" s="10"/>
      <c r="D5" s="10"/>
      <c r="E5" s="88"/>
      <c r="F5" s="88"/>
      <c r="G5" s="88"/>
    </row>
    <row r="6" spans="1:6" s="83" customFormat="1" ht="28.5" customHeight="1">
      <c r="A6" s="209" t="s">
        <v>242</v>
      </c>
      <c r="B6" s="209"/>
      <c r="C6" s="209"/>
      <c r="D6" s="209"/>
      <c r="E6" s="209"/>
      <c r="F6" s="209"/>
    </row>
    <row r="7" spans="1:5" ht="14.25">
      <c r="A7" s="208"/>
      <c r="B7" s="208"/>
      <c r="C7" s="208"/>
      <c r="D7" s="208"/>
      <c r="E7" s="208"/>
    </row>
    <row r="8" spans="1:7" ht="12.75">
      <c r="A8" s="133"/>
      <c r="B8" s="10"/>
      <c r="C8" s="10"/>
      <c r="D8" s="10"/>
      <c r="E8" s="133"/>
      <c r="F8" s="133"/>
      <c r="G8" s="133"/>
    </row>
    <row r="9" spans="1:7" s="12" customFormat="1" ht="51" customHeight="1">
      <c r="A9" s="35" t="s">
        <v>39</v>
      </c>
      <c r="B9" s="210" t="s">
        <v>151</v>
      </c>
      <c r="C9" s="211"/>
      <c r="D9" s="135"/>
      <c r="E9" s="35" t="s">
        <v>163</v>
      </c>
      <c r="F9" s="35" t="s">
        <v>152</v>
      </c>
      <c r="G9" s="35" t="s">
        <v>182</v>
      </c>
    </row>
    <row r="10" spans="1:7" ht="12.75">
      <c r="A10" s="10"/>
      <c r="B10" s="10"/>
      <c r="C10" s="10"/>
      <c r="D10" s="10"/>
      <c r="E10" s="88"/>
      <c r="F10" s="88"/>
      <c r="G10" s="88"/>
    </row>
    <row r="11" spans="1:7" ht="12">
      <c r="A11" s="131"/>
      <c r="B11" s="15" t="s">
        <v>219</v>
      </c>
      <c r="C11" s="15"/>
      <c r="D11" s="15"/>
      <c r="E11" s="17">
        <f>SUM(E12)</f>
        <v>37963</v>
      </c>
      <c r="F11" s="17">
        <f>SUM(F12)</f>
        <v>31167</v>
      </c>
      <c r="G11" s="17">
        <f>SUM(G12)</f>
        <v>69130</v>
      </c>
    </row>
    <row r="12" spans="1:7" ht="12">
      <c r="A12" s="131"/>
      <c r="B12" s="15" t="s">
        <v>235</v>
      </c>
      <c r="C12" s="15"/>
      <c r="D12" s="15"/>
      <c r="E12" s="17">
        <f>SUM(E13:E14)</f>
        <v>37963</v>
      </c>
      <c r="F12" s="17">
        <f>SUM(F13:F14)</f>
        <v>31167</v>
      </c>
      <c r="G12" s="17">
        <f>SUM(G13:G14)</f>
        <v>69130</v>
      </c>
    </row>
    <row r="13" spans="1:7" s="1" customFormat="1" ht="11.25">
      <c r="A13" s="28"/>
      <c r="C13" s="24" t="s">
        <v>236</v>
      </c>
      <c r="E13" s="5">
        <f>5063+28685</f>
        <v>33748</v>
      </c>
      <c r="F13" s="5">
        <v>14167</v>
      </c>
      <c r="G13" s="5">
        <f>SUM(E13:F13)</f>
        <v>47915</v>
      </c>
    </row>
    <row r="14" spans="1:7" s="1" customFormat="1" ht="11.25">
      <c r="A14" s="28"/>
      <c r="C14" s="24" t="s">
        <v>237</v>
      </c>
      <c r="E14" s="5">
        <v>4215</v>
      </c>
      <c r="F14" s="5">
        <v>17000</v>
      </c>
      <c r="G14" s="5">
        <f>SUM(E14:F14)</f>
        <v>21215</v>
      </c>
    </row>
    <row r="15" spans="1:7" ht="12">
      <c r="A15" s="131"/>
      <c r="E15" s="131"/>
      <c r="F15" s="131"/>
      <c r="G15" s="131"/>
    </row>
    <row r="16" spans="1:7" ht="12">
      <c r="A16" s="131"/>
      <c r="B16" s="15" t="s">
        <v>238</v>
      </c>
      <c r="C16" s="15"/>
      <c r="D16" s="15"/>
      <c r="E16" s="17">
        <f>E17+E18+E19+E22+E21</f>
        <v>50586</v>
      </c>
      <c r="F16" s="17">
        <f>F17+F18+F19+F22+F21</f>
        <v>31167</v>
      </c>
      <c r="G16" s="17">
        <f>G17+G18+G19+G22+G21</f>
        <v>81753</v>
      </c>
    </row>
    <row r="17" spans="1:7" ht="12">
      <c r="A17" s="131" t="s">
        <v>118</v>
      </c>
      <c r="B17" s="212" t="s">
        <v>119</v>
      </c>
      <c r="C17" s="212"/>
      <c r="E17" s="23">
        <f>1274+4000</f>
        <v>5274</v>
      </c>
      <c r="F17" s="23">
        <v>50</v>
      </c>
      <c r="G17" s="23">
        <f aca="true" t="shared" si="0" ref="G17:G22">SUM(E17:F17)</f>
        <v>5324</v>
      </c>
    </row>
    <row r="18" spans="1:7" ht="12">
      <c r="A18" s="131" t="s">
        <v>122</v>
      </c>
      <c r="B18" s="212" t="s">
        <v>123</v>
      </c>
      <c r="C18" s="212"/>
      <c r="E18" s="23">
        <f>12241+10215</f>
        <v>22456</v>
      </c>
      <c r="F18" s="23">
        <v>815</v>
      </c>
      <c r="G18" s="23">
        <f t="shared" si="0"/>
        <v>23271</v>
      </c>
    </row>
    <row r="19" spans="1:7" ht="12">
      <c r="A19" s="131" t="s">
        <v>126</v>
      </c>
      <c r="B19" s="212" t="s">
        <v>127</v>
      </c>
      <c r="C19" s="212"/>
      <c r="E19" s="23">
        <f>905+1140</f>
        <v>2045</v>
      </c>
      <c r="F19" s="23"/>
      <c r="G19" s="23">
        <f t="shared" si="0"/>
        <v>2045</v>
      </c>
    </row>
    <row r="20" spans="1:7" ht="12" hidden="1">
      <c r="A20" s="131"/>
      <c r="E20" s="23">
        <f>SUM(E16:E17)</f>
        <v>55860</v>
      </c>
      <c r="F20" s="23">
        <f>SUM(F16:F17)</f>
        <v>31217</v>
      </c>
      <c r="G20" s="23">
        <f t="shared" si="0"/>
        <v>87077</v>
      </c>
    </row>
    <row r="21" spans="1:7" ht="12">
      <c r="A21" s="131" t="s">
        <v>128</v>
      </c>
      <c r="B21" s="212" t="s">
        <v>245</v>
      </c>
      <c r="C21" s="212"/>
      <c r="E21" s="23">
        <v>6911</v>
      </c>
      <c r="F21" s="23">
        <v>30002</v>
      </c>
      <c r="G21" s="23">
        <f t="shared" si="0"/>
        <v>36913</v>
      </c>
    </row>
    <row r="22" spans="1:7" ht="12">
      <c r="A22" s="131" t="s">
        <v>130</v>
      </c>
      <c r="B22" s="212" t="s">
        <v>131</v>
      </c>
      <c r="C22" s="212"/>
      <c r="E22" s="23">
        <f>3266+10634</f>
        <v>13900</v>
      </c>
      <c r="F22" s="23">
        <v>300</v>
      </c>
      <c r="G22" s="23">
        <f t="shared" si="0"/>
        <v>14200</v>
      </c>
    </row>
    <row r="23" spans="1:7" ht="12">
      <c r="A23" s="131"/>
      <c r="E23" s="131"/>
      <c r="F23" s="131"/>
      <c r="G23" s="131"/>
    </row>
    <row r="24" spans="1:7" ht="12.75" customHeight="1">
      <c r="A24" s="145"/>
      <c r="B24" s="15" t="s">
        <v>239</v>
      </c>
      <c r="C24" s="15"/>
      <c r="D24" s="15"/>
      <c r="E24" s="17">
        <f>E11-E16</f>
        <v>-12623</v>
      </c>
      <c r="F24" s="17">
        <f>F11-F16</f>
        <v>0</v>
      </c>
      <c r="G24" s="17">
        <f>G11-G16</f>
        <v>-12623</v>
      </c>
    </row>
    <row r="25" spans="1:7" s="15" customFormat="1" ht="12">
      <c r="A25" s="145"/>
      <c r="B25" s="15" t="s">
        <v>240</v>
      </c>
      <c r="E25" s="17">
        <f>E26</f>
        <v>12623</v>
      </c>
      <c r="F25" s="17">
        <f>F26</f>
        <v>0</v>
      </c>
      <c r="G25" s="17">
        <f>G26</f>
        <v>12623</v>
      </c>
    </row>
    <row r="26" spans="1:7" ht="12">
      <c r="A26" s="131"/>
      <c r="B26" s="22" t="s">
        <v>31</v>
      </c>
      <c r="E26" s="23">
        <f>SUM(E27:E28)</f>
        <v>12623</v>
      </c>
      <c r="F26" s="23">
        <f>SUM(F27:F28)</f>
        <v>0</v>
      </c>
      <c r="G26" s="23">
        <f>SUM(G27:G28)</f>
        <v>12623</v>
      </c>
    </row>
    <row r="27" spans="1:7" s="1" customFormat="1" ht="11.25">
      <c r="A27" s="28"/>
      <c r="C27" s="24" t="s">
        <v>32</v>
      </c>
      <c r="E27" s="25">
        <v>12623</v>
      </c>
      <c r="F27" s="25"/>
      <c r="G27" s="25">
        <f>SUM(E27:F27)</f>
        <v>12623</v>
      </c>
    </row>
    <row r="28" spans="3:7" s="1" customFormat="1" ht="11.25">
      <c r="C28" s="24" t="s">
        <v>33</v>
      </c>
      <c r="E28" s="84">
        <v>0</v>
      </c>
      <c r="F28" s="84"/>
      <c r="G28" s="25">
        <f>SUM(E28:F28)</f>
        <v>0</v>
      </c>
    </row>
    <row r="29" spans="5:7" ht="12">
      <c r="E29" s="131"/>
      <c r="F29" s="131"/>
      <c r="G29" s="131"/>
    </row>
    <row r="30" spans="5:7" ht="12">
      <c r="E30" s="146"/>
      <c r="F30" s="146"/>
      <c r="G30" s="146"/>
    </row>
    <row r="31" spans="1:6" ht="12">
      <c r="A31" s="22" t="s">
        <v>241</v>
      </c>
      <c r="F31" s="22" t="s">
        <v>36</v>
      </c>
    </row>
    <row r="33" spans="1:7" ht="12.75">
      <c r="A33" s="10"/>
      <c r="B33" s="10"/>
      <c r="C33" s="10"/>
      <c r="D33" s="10"/>
      <c r="E33" s="10"/>
      <c r="F33" s="10"/>
      <c r="G33" s="10"/>
    </row>
    <row r="34" spans="1:7" ht="12.75">
      <c r="A34" s="10"/>
      <c r="B34" s="10"/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0"/>
      <c r="B39" s="10"/>
      <c r="C39" s="10"/>
      <c r="D39" s="10"/>
      <c r="E39" s="10"/>
      <c r="F39" s="10"/>
      <c r="G39" s="10"/>
    </row>
    <row r="40" spans="1:7" ht="12.75">
      <c r="A40" s="10"/>
      <c r="B40" s="10"/>
      <c r="C40" s="10"/>
      <c r="D40" s="10"/>
      <c r="E40" s="10"/>
      <c r="F40" s="10"/>
      <c r="G40" s="10"/>
    </row>
    <row r="41" spans="1:7" ht="12.75">
      <c r="A41" s="10"/>
      <c r="B41" s="10"/>
      <c r="C41" s="10"/>
      <c r="D41" s="10"/>
      <c r="E41" s="10"/>
      <c r="F41" s="10"/>
      <c r="G41" s="10"/>
    </row>
    <row r="42" spans="1:7" ht="12.75">
      <c r="A42" s="10"/>
      <c r="B42" s="10"/>
      <c r="C42" s="10"/>
      <c r="D42" s="10"/>
      <c r="E42" s="10"/>
      <c r="F42" s="10"/>
      <c r="G42" s="10"/>
    </row>
    <row r="43" spans="1:7" ht="12.75">
      <c r="A43" s="10"/>
      <c r="B43" s="10"/>
      <c r="C43" s="10"/>
      <c r="D43" s="10"/>
      <c r="E43" s="10"/>
      <c r="F43" s="10"/>
      <c r="G43" s="10"/>
    </row>
    <row r="44" spans="1:7" ht="12.75">
      <c r="A44" s="10"/>
      <c r="B44" s="10"/>
      <c r="C44" s="10"/>
      <c r="D44" s="10"/>
      <c r="E44" s="10"/>
      <c r="F44" s="10"/>
      <c r="G44" s="10"/>
    </row>
    <row r="45" spans="1:7" ht="12.75">
      <c r="A45" s="10"/>
      <c r="B45" s="10"/>
      <c r="C45" s="10"/>
      <c r="D45" s="10"/>
      <c r="E45" s="10"/>
      <c r="F45" s="10"/>
      <c r="G45" s="10"/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0"/>
      <c r="B47" s="10"/>
      <c r="C47" s="10"/>
      <c r="D47" s="10"/>
      <c r="E47" s="10"/>
      <c r="F47" s="10"/>
      <c r="G47" s="10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10"/>
      <c r="B50" s="10"/>
      <c r="C50" s="10"/>
      <c r="D50" s="10"/>
      <c r="E50" s="10"/>
      <c r="F50" s="10"/>
      <c r="G50" s="10"/>
    </row>
    <row r="51" spans="1:7" ht="12.75">
      <c r="A51" s="10"/>
      <c r="B51" s="10"/>
      <c r="C51" s="10"/>
      <c r="D51" s="10"/>
      <c r="E51" s="10"/>
      <c r="F51" s="10"/>
      <c r="G51" s="10"/>
    </row>
    <row r="52" spans="1:7" ht="12.75">
      <c r="A52" s="10"/>
      <c r="B52" s="10"/>
      <c r="C52" s="10"/>
      <c r="D52" s="10"/>
      <c r="E52" s="10"/>
      <c r="F52" s="10"/>
      <c r="G52" s="10"/>
    </row>
    <row r="53" spans="1:7" ht="12.75">
      <c r="A53" s="10"/>
      <c r="B53" s="10"/>
      <c r="C53" s="10"/>
      <c r="D53" s="10"/>
      <c r="E53" s="10"/>
      <c r="F53" s="10"/>
      <c r="G53" s="10"/>
    </row>
    <row r="54" spans="1:7" ht="12.75">
      <c r="A54" s="10"/>
      <c r="B54" s="10"/>
      <c r="C54" s="10"/>
      <c r="D54" s="10"/>
      <c r="E54" s="10"/>
      <c r="F54" s="10"/>
      <c r="G54" s="10"/>
    </row>
    <row r="55" spans="1:7" ht="12.75">
      <c r="A55" s="10"/>
      <c r="B55" s="10"/>
      <c r="C55" s="10"/>
      <c r="D55" s="10"/>
      <c r="E55" s="10"/>
      <c r="F55" s="10"/>
      <c r="G55" s="10"/>
    </row>
    <row r="56" spans="1:7" ht="12.75">
      <c r="A56" s="10"/>
      <c r="B56" s="10"/>
      <c r="C56" s="10"/>
      <c r="D56" s="10"/>
      <c r="E56" s="10"/>
      <c r="F56" s="10"/>
      <c r="G56" s="10"/>
    </row>
    <row r="57" spans="1:7" ht="12.75">
      <c r="A57" s="10"/>
      <c r="B57" s="10"/>
      <c r="C57" s="10"/>
      <c r="D57" s="10"/>
      <c r="E57" s="10"/>
      <c r="F57" s="10"/>
      <c r="G57" s="10"/>
    </row>
    <row r="58" spans="1:7" ht="12.75">
      <c r="A58" s="10"/>
      <c r="B58" s="10"/>
      <c r="C58" s="10"/>
      <c r="D58" s="10"/>
      <c r="E58" s="10"/>
      <c r="F58" s="10"/>
      <c r="G58" s="10"/>
    </row>
    <row r="59" spans="1:7" ht="12.75">
      <c r="A59" s="10"/>
      <c r="B59" s="10"/>
      <c r="C59" s="10"/>
      <c r="D59" s="10"/>
      <c r="E59" s="10"/>
      <c r="F59" s="10"/>
      <c r="G59" s="10"/>
    </row>
    <row r="60" spans="1:7" ht="12.75">
      <c r="A60" s="10"/>
      <c r="B60" s="10"/>
      <c r="C60" s="10"/>
      <c r="D60" s="10"/>
      <c r="E60" s="10"/>
      <c r="F60" s="10"/>
      <c r="G60" s="10"/>
    </row>
    <row r="61" spans="1:7" ht="12.75">
      <c r="A61" s="10"/>
      <c r="B61" s="10"/>
      <c r="C61" s="10"/>
      <c r="D61" s="10"/>
      <c r="E61" s="10"/>
      <c r="F61" s="10"/>
      <c r="G61" s="10"/>
    </row>
    <row r="62" spans="1:7" ht="12.75">
      <c r="A62" s="10"/>
      <c r="B62" s="10"/>
      <c r="C62" s="10"/>
      <c r="D62" s="10"/>
      <c r="E62" s="10"/>
      <c r="F62" s="10"/>
      <c r="G62" s="10"/>
    </row>
    <row r="63" spans="1:7" ht="12.75">
      <c r="A63" s="10"/>
      <c r="B63" s="10"/>
      <c r="C63" s="10"/>
      <c r="D63" s="10"/>
      <c r="E63" s="10"/>
      <c r="F63" s="10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/>
      <c r="C65" s="10"/>
      <c r="D65" s="10"/>
      <c r="E65" s="10"/>
      <c r="F65" s="10"/>
      <c r="G65" s="10"/>
    </row>
    <row r="66" spans="1:7" ht="12.75">
      <c r="A66" s="10"/>
      <c r="B66" s="10"/>
      <c r="C66" s="10"/>
      <c r="D66" s="10"/>
      <c r="E66" s="10"/>
      <c r="F66" s="10"/>
      <c r="G66" s="10"/>
    </row>
    <row r="67" spans="1:7" ht="12.75">
      <c r="A67" s="10"/>
      <c r="B67" s="10"/>
      <c r="C67" s="10"/>
      <c r="D67" s="10"/>
      <c r="E67" s="10"/>
      <c r="F67" s="10"/>
      <c r="G67" s="10"/>
    </row>
    <row r="68" spans="1:7" ht="12.75">
      <c r="A68" s="10"/>
      <c r="B68" s="10"/>
      <c r="C68" s="10"/>
      <c r="D68" s="10"/>
      <c r="E68" s="10"/>
      <c r="F68" s="10"/>
      <c r="G68" s="10"/>
    </row>
    <row r="69" spans="1:7" ht="12.75">
      <c r="A69" s="10"/>
      <c r="B69" s="10"/>
      <c r="C69" s="10"/>
      <c r="D69" s="10"/>
      <c r="E69" s="10"/>
      <c r="F69" s="10"/>
      <c r="G69" s="10"/>
    </row>
    <row r="70" spans="1:7" ht="12.75">
      <c r="A70" s="10"/>
      <c r="B70" s="10"/>
      <c r="C70" s="10"/>
      <c r="D70" s="10"/>
      <c r="E70" s="10"/>
      <c r="F70" s="10"/>
      <c r="G70" s="10"/>
    </row>
    <row r="71" spans="1:7" ht="12.75">
      <c r="A71" s="10"/>
      <c r="B71" s="10"/>
      <c r="C71" s="10"/>
      <c r="D71" s="10"/>
      <c r="E71" s="10"/>
      <c r="F71" s="10"/>
      <c r="G71" s="10"/>
    </row>
    <row r="72" spans="1:7" ht="12.75">
      <c r="A72" s="10"/>
      <c r="B72" s="10"/>
      <c r="C72" s="10"/>
      <c r="D72" s="10"/>
      <c r="E72" s="10"/>
      <c r="F72" s="10"/>
      <c r="G72" s="10"/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10"/>
      <c r="B74" s="10"/>
      <c r="C74" s="10"/>
      <c r="D74" s="10"/>
      <c r="E74" s="10"/>
      <c r="F74" s="10"/>
      <c r="G74" s="10"/>
    </row>
    <row r="75" spans="1:7" ht="12.75">
      <c r="A75" s="10"/>
      <c r="B75" s="10"/>
      <c r="C75" s="10"/>
      <c r="D75" s="10"/>
      <c r="E75" s="10"/>
      <c r="F75" s="10"/>
      <c r="G75" s="10"/>
    </row>
    <row r="76" spans="1:7" ht="12.75">
      <c r="A76" s="10"/>
      <c r="B76" s="10"/>
      <c r="C76" s="10"/>
      <c r="D76" s="10"/>
      <c r="E76" s="10"/>
      <c r="F76" s="10"/>
      <c r="G76" s="10"/>
    </row>
    <row r="77" spans="1:7" ht="12.75">
      <c r="A77" s="10"/>
      <c r="B77" s="10"/>
      <c r="C77" s="10"/>
      <c r="D77" s="10"/>
      <c r="E77" s="10"/>
      <c r="F77" s="10"/>
      <c r="G77" s="10"/>
    </row>
    <row r="78" spans="1:7" ht="12.75">
      <c r="A78" s="10"/>
      <c r="B78" s="10"/>
      <c r="C78" s="10"/>
      <c r="D78" s="10"/>
      <c r="E78" s="10"/>
      <c r="F78" s="10"/>
      <c r="G78" s="10"/>
    </row>
    <row r="79" spans="1:7" ht="12.75">
      <c r="A79" s="10"/>
      <c r="B79" s="10"/>
      <c r="C79" s="10"/>
      <c r="D79" s="10"/>
      <c r="E79" s="10"/>
      <c r="F79" s="10"/>
      <c r="G79" s="10"/>
    </row>
    <row r="80" spans="1:7" ht="12.75">
      <c r="A80" s="10"/>
      <c r="B80" s="10"/>
      <c r="C80" s="10"/>
      <c r="D80" s="10"/>
      <c r="E80" s="10"/>
      <c r="F80" s="10"/>
      <c r="G80" s="10"/>
    </row>
    <row r="81" spans="1:7" ht="12.75">
      <c r="A81" s="10"/>
      <c r="B81" s="10"/>
      <c r="C81" s="10"/>
      <c r="D81" s="10"/>
      <c r="E81" s="10"/>
      <c r="F81" s="10"/>
      <c r="G81" s="10"/>
    </row>
    <row r="82" spans="1:7" ht="12.75">
      <c r="A82" s="10"/>
      <c r="B82" s="10"/>
      <c r="C82" s="10"/>
      <c r="D82" s="10"/>
      <c r="E82" s="10"/>
      <c r="F82" s="10"/>
      <c r="G82" s="10"/>
    </row>
    <row r="83" spans="1:7" ht="12.75">
      <c r="A83" s="10"/>
      <c r="B83" s="10"/>
      <c r="C83" s="10"/>
      <c r="D83" s="10"/>
      <c r="E83" s="10"/>
      <c r="F83" s="10"/>
      <c r="G83" s="10"/>
    </row>
    <row r="84" spans="1:7" ht="12.75">
      <c r="A84" s="10"/>
      <c r="B84" s="10"/>
      <c r="C84" s="10"/>
      <c r="D84" s="10"/>
      <c r="E84" s="10"/>
      <c r="F84" s="10"/>
      <c r="G84" s="10"/>
    </row>
    <row r="85" spans="1:7" ht="12.75">
      <c r="A85" s="10"/>
      <c r="B85" s="10"/>
      <c r="C85" s="10"/>
      <c r="D85" s="10"/>
      <c r="E85" s="10"/>
      <c r="F85" s="10"/>
      <c r="G85" s="10"/>
    </row>
    <row r="86" spans="1:7" ht="12.75">
      <c r="A86" s="10"/>
      <c r="B86" s="10"/>
      <c r="C86" s="10"/>
      <c r="D86" s="10"/>
      <c r="E86" s="10"/>
      <c r="F86" s="10"/>
      <c r="G86" s="10"/>
    </row>
    <row r="87" spans="1:7" ht="12.75">
      <c r="A87" s="10"/>
      <c r="B87" s="10"/>
      <c r="C87" s="10"/>
      <c r="D87" s="10"/>
      <c r="E87" s="10"/>
      <c r="F87" s="10"/>
      <c r="G87" s="10"/>
    </row>
    <row r="88" spans="1:7" ht="12.75">
      <c r="A88" s="10"/>
      <c r="B88" s="10"/>
      <c r="C88" s="10"/>
      <c r="D88" s="10"/>
      <c r="E88" s="10"/>
      <c r="F88" s="10"/>
      <c r="G88" s="10"/>
    </row>
  </sheetData>
  <mergeCells count="8">
    <mergeCell ref="B18:C18"/>
    <mergeCell ref="B19:C19"/>
    <mergeCell ref="B21:C21"/>
    <mergeCell ref="B22:C22"/>
    <mergeCell ref="A7:E7"/>
    <mergeCell ref="B9:C9"/>
    <mergeCell ref="A6:F6"/>
    <mergeCell ref="B17:C17"/>
  </mergeCells>
  <printOptions/>
  <pageMargins left="0.36" right="0.19" top="0.31" bottom="1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Daina307</dc:creator>
  <cp:keywords/>
  <dc:description/>
  <cp:lastModifiedBy>Daina307</cp:lastModifiedBy>
  <cp:lastPrinted>2005-09-22T13:33:45Z</cp:lastPrinted>
  <dcterms:created xsi:type="dcterms:W3CDTF">2005-04-25T06:03:55Z</dcterms:created>
  <dcterms:modified xsi:type="dcterms:W3CDTF">2005-09-28T12:04:58Z</dcterms:modified>
  <cp:category/>
  <cp:version/>
  <cp:contentType/>
  <cp:contentStatus/>
</cp:coreProperties>
</file>