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914" activeTab="0"/>
  </bookViews>
  <sheets>
    <sheet name="1-1.DEM" sheetId="1" r:id="rId1"/>
    <sheet name="1-2.SIEN" sheetId="2" r:id="rId2"/>
    <sheet name="1-3.BK" sheetId="3" r:id="rId3"/>
    <sheet name="1-4.GRID" sheetId="4" r:id="rId4"/>
    <sheet name="1-5.DR" sheetId="5" r:id="rId5"/>
    <sheet name="1-6.APD" sheetId="6" r:id="rId6"/>
    <sheet name="1-7.MAR" sheetId="7" r:id="rId7"/>
    <sheet name="2-1.UD" sheetId="8" r:id="rId8"/>
    <sheet name="2-2.KZ" sheetId="9" r:id="rId9"/>
    <sheet name="2-3.VEN" sheetId="10" r:id="rId10"/>
    <sheet name="2-4.KF" sheetId="11" r:id="rId11"/>
    <sheet name="2-5.AP" sheetId="12" r:id="rId12"/>
    <sheet name="2-6.SM" sheetId="13" r:id="rId13"/>
    <sheet name="2-7.ESSAS" sheetId="14" r:id="rId14"/>
    <sheet name="2-8.ESS2" sheetId="15" r:id="rId15"/>
    <sheet name="2-9.TEH" sheetId="16" r:id="rId16"/>
    <sheet name="2-10.VN" sheetId="17" r:id="rId17"/>
    <sheet name="2-11.UAS" sheetId="18" r:id="rId18"/>
    <sheet name="2-12.UH" sheetId="19" r:id="rId19"/>
    <sheet name="2-13.UIS" sheetId="20" r:id="rId20"/>
    <sheet name="2-14.EL" sheetId="21" r:id="rId21"/>
    <sheet name="3-1.UKT" sheetId="22" r:id="rId22"/>
    <sheet name="4-1.LIFT" sheetId="23" r:id="rId23"/>
    <sheet name="4-2.WCin" sheetId="24" r:id="rId24"/>
    <sheet name="4-3.GP" sheetId="25" r:id="rId25"/>
    <sheet name="4-4.DOP" sheetId="26" r:id="rId26"/>
  </sheets>
  <definedNames>
    <definedName name="_xlnm.Print_Area" localSheetId="0">'1-1.DEM'!$A$1:$D$39</definedName>
    <definedName name="_xlnm.Print_Area" localSheetId="1">'1-2.SIEN'!$A$1:$D$182</definedName>
    <definedName name="_xlnm.Print_Area" localSheetId="2">'1-3.BK'!$A$1:$D$242</definedName>
    <definedName name="_xlnm.Print_Area" localSheetId="3">'1-4.GRID'!$A$1:$D$79</definedName>
    <definedName name="_xlnm.Print_Area" localSheetId="4">'1-5.DR'!$A$1:$D$58</definedName>
    <definedName name="_xlnm.Print_Area" localSheetId="5">'1-6.APD'!$A$1:$D$109</definedName>
    <definedName name="_xlnm.Print_Area" localSheetId="6">'1-7.MAR'!$A$1:$D$73</definedName>
    <definedName name="_xlnm.Print_Area" localSheetId="7">'2-1.UD'!$A$1:$D$83</definedName>
    <definedName name="_xlnm.Print_Area" localSheetId="16">'2-10.VN'!$A$1:$D$45</definedName>
    <definedName name="_xlnm.Print_Area" localSheetId="17">'2-11.UAS'!$A$1:$D$58</definedName>
    <definedName name="_xlnm.Print_Area" localSheetId="18">'2-12.UH'!$A$1:$D$38</definedName>
    <definedName name="_xlnm.Print_Area" localSheetId="19">'2-13.UIS'!$A$1:$D$57</definedName>
    <definedName name="_xlnm.Print_Area" localSheetId="20">'2-14.EL'!$A$1:$D$207</definedName>
    <definedName name="_xlnm.Print_Area" localSheetId="8">'2-2.KZ'!$A$1:$D$56</definedName>
    <definedName name="_xlnm.Print_Area" localSheetId="9">'2-3.VEN'!$A$1:$D$391</definedName>
    <definedName name="_xlnm.Print_Area" localSheetId="10">'2-4.KF'!$A$1:$D$55</definedName>
    <definedName name="_xlnm.Print_Area" localSheetId="11">'2-5.AP'!$A$1:$D$94</definedName>
    <definedName name="_xlnm.Print_Area" localSheetId="12">'2-6.SM'!$A$1:$D$137</definedName>
    <definedName name="_xlnm.Print_Area" localSheetId="13">'2-7.ESSAS'!$A$1:$D$61</definedName>
    <definedName name="_xlnm.Print_Area" localSheetId="14">'2-8.ESS2'!$A$1:$D$79</definedName>
    <definedName name="_xlnm.Print_Area" localSheetId="15">'2-9.TEH'!$A$1:$D$88</definedName>
    <definedName name="_xlnm.Print_Area" localSheetId="21">'3-1.UKT'!$A$1:$D$43</definedName>
    <definedName name="_xlnm.Print_Area" localSheetId="22">'4-1.LIFT'!$A$1:$D$24</definedName>
    <definedName name="_xlnm.Print_Area" localSheetId="23">'4-2.WCin'!$A$1:$D$36</definedName>
    <definedName name="_xlnm.Print_Area" localSheetId="24">'4-3.GP'!$A$1:$D$53</definedName>
    <definedName name="_xlnm.Print_Area" localSheetId="25">'4-4.DOP'!$A$1:$D$37</definedName>
  </definedNames>
  <calcPr fullCalcOnLoad="1"/>
</workbook>
</file>

<file path=xl/comments16.xml><?xml version="1.0" encoding="utf-8"?>
<comments xmlns="http://schemas.openxmlformats.org/spreadsheetml/2006/main">
  <authors>
    <author>Iluta Kipure</author>
  </authors>
  <commentList>
    <comment ref="A10" authorId="0">
      <text>
        <r>
          <rPr>
            <b/>
            <sz val="9"/>
            <rFont val="Tahoma"/>
            <family val="0"/>
          </rPr>
          <t>Iluta Kipure:</t>
        </r>
        <r>
          <rPr>
            <sz val="9"/>
            <rFont val="Tahoma"/>
            <family val="0"/>
          </rPr>
          <t xml:space="preserve">
</t>
        </r>
      </text>
    </comment>
  </commentList>
</comments>
</file>

<file path=xl/sharedStrings.xml><?xml version="1.0" encoding="utf-8"?>
<sst xmlns="http://schemas.openxmlformats.org/spreadsheetml/2006/main" count="4634" uniqueCount="1689">
  <si>
    <t xml:space="preserve"> </t>
  </si>
  <si>
    <t>Piezīme</t>
  </si>
  <si>
    <t>objekts</t>
  </si>
  <si>
    <t>kpl.</t>
  </si>
  <si>
    <t>(paraksts un tā atšifrējums, datums)</t>
  </si>
  <si>
    <t>Sertifikāta Nr.</t>
  </si>
  <si>
    <t>Pārbaudīja :</t>
  </si>
  <si>
    <t>2.7</t>
  </si>
  <si>
    <t>2.8</t>
  </si>
  <si>
    <t>2.9</t>
  </si>
  <si>
    <t>2.10</t>
  </si>
  <si>
    <t>2.6</t>
  </si>
  <si>
    <t>m</t>
  </si>
  <si>
    <t>Kopā:</t>
  </si>
  <si>
    <t>Sastādīja :</t>
  </si>
  <si>
    <t>gb.</t>
  </si>
  <si>
    <t>4</t>
  </si>
  <si>
    <t>6</t>
  </si>
  <si>
    <t>7</t>
  </si>
  <si>
    <t>8</t>
  </si>
  <si>
    <t>1.1</t>
  </si>
  <si>
    <t>1.2</t>
  </si>
  <si>
    <t>2.1</t>
  </si>
  <si>
    <t>2.2</t>
  </si>
  <si>
    <t>2.3</t>
  </si>
  <si>
    <t>2.4</t>
  </si>
  <si>
    <t>2.5</t>
  </si>
  <si>
    <t>1</t>
  </si>
  <si>
    <t>3</t>
  </si>
  <si>
    <t>2.11</t>
  </si>
  <si>
    <t>2.12</t>
  </si>
  <si>
    <t>2.13</t>
  </si>
  <si>
    <t>2.14</t>
  </si>
  <si>
    <t>2.15</t>
  </si>
  <si>
    <t>2</t>
  </si>
  <si>
    <t>2.16</t>
  </si>
  <si>
    <t>2.17</t>
  </si>
  <si>
    <t>2.18</t>
  </si>
  <si>
    <t>2.19</t>
  </si>
  <si>
    <t>2.20</t>
  </si>
  <si>
    <t>2.21</t>
  </si>
  <si>
    <t>2.22</t>
  </si>
  <si>
    <t>2.23</t>
  </si>
  <si>
    <t>2.24</t>
  </si>
  <si>
    <t>2.25</t>
  </si>
  <si>
    <t>2.26</t>
  </si>
  <si>
    <t>2.27</t>
  </si>
  <si>
    <t>2.28</t>
  </si>
  <si>
    <t>5</t>
  </si>
  <si>
    <t>Iekšējie ūdensvadi U1, S3, S4.</t>
  </si>
  <si>
    <t>Demontāžas darbi</t>
  </si>
  <si>
    <t>m2</t>
  </si>
  <si>
    <t>Esošo durvju  bloku demontāza un utilizācija</t>
  </si>
  <si>
    <t>Ķieģeļu starpsienas nojaukšana un utilizācija</t>
  </si>
  <si>
    <t>m3</t>
  </si>
  <si>
    <t xml:space="preserve">Ailu kalšana ķieģeļu sienas </t>
  </si>
  <si>
    <t>Demontāžas darbi.</t>
  </si>
  <si>
    <t>Cokola stāvs  (skat.AR-2)</t>
  </si>
  <si>
    <t xml:space="preserve">Sienas un starpsienas </t>
  </si>
  <si>
    <t>Aizmūrējama aila ar ķieģeļiem</t>
  </si>
  <si>
    <t xml:space="preserve">ķieģeļis </t>
  </si>
  <si>
    <t>gb</t>
  </si>
  <si>
    <t>java</t>
  </si>
  <si>
    <t>Sienu mūrēšana  no gāzbetona bloku</t>
  </si>
  <si>
    <t>mūr.java</t>
  </si>
  <si>
    <t>kg</t>
  </si>
  <si>
    <t>gāzbetona bloki b=120mm</t>
  </si>
  <si>
    <t>m/karkas</t>
  </si>
  <si>
    <t>dībelis</t>
  </si>
  <si>
    <t>skrūves</t>
  </si>
  <si>
    <t>šuvju lente</t>
  </si>
  <si>
    <t>amortizējoša lente</t>
  </si>
  <si>
    <t>špaktele</t>
  </si>
  <si>
    <t xml:space="preserve">minerālvate Paroc eXtra b=100mm vai ekvivalents </t>
  </si>
  <si>
    <t>grunts</t>
  </si>
  <si>
    <t>l</t>
  </si>
  <si>
    <t>smilšpapīrs</t>
  </si>
  <si>
    <t>Starpsienu konstrukcijas b=150mm no divām kārtām reģipša uz metāla karkasa ar akmens vates pildījumu (b=100) ierīkošana</t>
  </si>
  <si>
    <t>Ģipškartona starpsienu virsmu špaktelēšana, slīpēšana un gruntēšana, saskaņā ar tehnoloģiju.</t>
  </si>
  <si>
    <t xml:space="preserve">minerālvate Paroc eXtra b=50mm vai ekvivalents </t>
  </si>
  <si>
    <t>Starpsienu konstrukcijas b=100mm no divām kārtām reģipša uz metāla karkasa ar akmens vates pildījumu (b=50) ierīkošana</t>
  </si>
  <si>
    <t>1. stāvs (sk. AR-3)</t>
  </si>
  <si>
    <t>Esošo starpsienas konstrukciju nojaukšana un utilizācija</t>
  </si>
  <si>
    <t>2. stāvs (sk. AR-4)</t>
  </si>
  <si>
    <t>3. stāvs (sk. AR-5)</t>
  </si>
  <si>
    <t>4. stāvs (sk. AR-)</t>
  </si>
  <si>
    <t>Sienas un starpsienas.</t>
  </si>
  <si>
    <t xml:space="preserve">Starpsienu konstrukcijas ierīkošana dežuranta vieta (Iekļaujot visus nepieciešamos materiālus saskaņā ar tehnoloģiju) </t>
  </si>
  <si>
    <t>Esošā  grīdas  konstrukciju nojaukšana  līdz smilts segumam un utilizācija</t>
  </si>
  <si>
    <t>t</t>
  </si>
  <si>
    <t>Ailu pārsedžu apmetums</t>
  </si>
  <si>
    <t>siets Nr.10-1</t>
  </si>
  <si>
    <t>-40x4, l=400mm</t>
  </si>
  <si>
    <t>Pārsedžu elementu montāža</t>
  </si>
  <si>
    <t>Ailu pārsedzes</t>
  </si>
  <si>
    <t>Metāla aiļu pārsedžu montāža: PR-1-C - 1gb., t.sk.:</t>
  </si>
  <si>
    <t>PR-2-C 9PB 22-3-P  (2200x120x190)</t>
  </si>
  <si>
    <t>PR-3-C 8PB 13-1  (1290x120x90)</t>
  </si>
  <si>
    <t>Metāla aiļu pārsedžu montāža: PR-2-1 - 1gb., t.sk.:</t>
  </si>
  <si>
    <t>UPE 160, l=1550mm</t>
  </si>
  <si>
    <t>-40x4, l=600mm</t>
  </si>
  <si>
    <t>Metāla aiļu pārsedžu montāža: PR-3-1 - 1gb., t.sk.:</t>
  </si>
  <si>
    <t>L50x5, l=2500mm</t>
  </si>
  <si>
    <t>L75x6, l=2500mm</t>
  </si>
  <si>
    <t>L75x6, l=1500mm</t>
  </si>
  <si>
    <t>L50x5, l=1500mm</t>
  </si>
  <si>
    <t>Metāla aiļu pārsedžu montāža: PR-4-1 - 1gb., t.sk.:</t>
  </si>
  <si>
    <t>Pārsedžu elementu montāža (PR-5-1; PR-6-1)</t>
  </si>
  <si>
    <t xml:space="preserve"> 8PB 13-1  (1290x120x90)</t>
  </si>
  <si>
    <t>Metāla aiļu pārsedžu montāža: PR-1-3 - 1gb., t.sk.:</t>
  </si>
  <si>
    <t>Metāla aiļu pārsedžu montāža: PR-2-3 - 1gb., t.sk.:</t>
  </si>
  <si>
    <t>L100x1, l=2700mm</t>
  </si>
  <si>
    <t>-40x4, l=360mm</t>
  </si>
  <si>
    <t>Pārsedžu elementu montāža (PR-3-3)</t>
  </si>
  <si>
    <t>betons C8/10</t>
  </si>
  <si>
    <t>Pārseguma stiegrošana</t>
  </si>
  <si>
    <t>Tērauda konstrukciju attīrīšana gruntēšana</t>
  </si>
  <si>
    <t>Tērauda konstrukcijas aizsardzībai pret koroziju janoklāj ar gruntējumu un divas reizes</t>
  </si>
  <si>
    <t>Siets ø10 S500, -100x100; ∅10S500, l=280mm</t>
  </si>
  <si>
    <t>betons C20/25</t>
  </si>
  <si>
    <t>betons C25/30</t>
  </si>
  <si>
    <t>Pārsegumi. Ailu pārsedzes. Jumtiņa. Lifta šahta.</t>
  </si>
  <si>
    <t xml:space="preserve">Grunts noblietēšana ar šķembām, un pamatnes izveidošana no šķembām </t>
  </si>
  <si>
    <t>šķembas b=150mm</t>
  </si>
  <si>
    <t>betons C25/30 ar "Penetron Admiks"</t>
  </si>
  <si>
    <t>u/izturīgs finieris</t>
  </si>
  <si>
    <t>Pamatu stiegrošana</t>
  </si>
  <si>
    <t>Sienas un pārsegumi šahtas</t>
  </si>
  <si>
    <t>tēr.loksnis 100x10, l=190mm</t>
  </si>
  <si>
    <t>gab</t>
  </si>
  <si>
    <t>Monolīta dz.betona lifta pamati</t>
  </si>
  <si>
    <t>apaļtērauds ø16, l=740mm</t>
  </si>
  <si>
    <t>betons C8/10 b=100mm</t>
  </si>
  <si>
    <t>Pamatnes plātnes betonēšana  (ieskaitot betona transportēšanu un sūknēšanu,veidņu uzstādīšana un izjaukšana pārseguma plātnēm, distanceri)</t>
  </si>
  <si>
    <t>Pamatslānis betonēšana  (ieskaitot betona transportēšanu un sūknēšanu,veidņu uzstādīšana un izjaukšana pārseguma plātnēm, distanceri)</t>
  </si>
  <si>
    <t xml:space="preserve">stiegrojumsø12 S500; 
Siets ∅16A400-200x200 </t>
  </si>
  <si>
    <t xml:space="preserve">stiegrojums: ø12 S500; ø6 S500; 
Siets ∅12 S500-200x200 </t>
  </si>
  <si>
    <t>Sienu stiegrošana t.sk.:</t>
  </si>
  <si>
    <t>šķembas fr.20-40mm  b=80mm</t>
  </si>
  <si>
    <t>Grīdas.</t>
  </si>
  <si>
    <t xml:space="preserve">Grīdas </t>
  </si>
  <si>
    <t>Tips GG-1</t>
  </si>
  <si>
    <t>Grīdu siltumizolācija</t>
  </si>
  <si>
    <t>Filtraudums vai plēve</t>
  </si>
  <si>
    <t>Tips GG-2</t>
  </si>
  <si>
    <t>Tips GG-3</t>
  </si>
  <si>
    <t>Grīdu gruntēšana</t>
  </si>
  <si>
    <t>Tips GG-4</t>
  </si>
  <si>
    <t xml:space="preserve">Grīdu izlīdzinošas ar betona javu kārta 10mm biez. ieskaitot visus nepieciešamos materiālus, palīgmateriāli </t>
  </si>
  <si>
    <t>Tips PG-1</t>
  </si>
  <si>
    <t>Tips PG-2</t>
  </si>
  <si>
    <t>Tips PG-3</t>
  </si>
  <si>
    <t xml:space="preserve">Iekšējie apdares darbi </t>
  </si>
  <si>
    <t>Mūra sienu un starpsienu  virsmu un durvju aiļu apmetums, iekļaujot visus nepieciešamos materiālus (grunts, apmetuma java un citi palīgmateriāli)</t>
  </si>
  <si>
    <t xml:space="preserve">Sienu virsmu špaktelēšana (2 reizes), slīpēšana un gruntēšana, sagatavošana krāsošanai, ieskaitot  logu un durvju ailu malas, saskaņā ar tehnoloģiju. </t>
  </si>
  <si>
    <t>špaktele "Vetonit" vai ekvivalents</t>
  </si>
  <si>
    <t xml:space="preserve">grunts </t>
  </si>
  <si>
    <t>līme</t>
  </si>
  <si>
    <t>suvju aizpilditājs</t>
  </si>
  <si>
    <t xml:space="preserve">Sienu virsmu krāsošana ar ūdensizturīga emulsijas krāsu, ieskaitot durvju ailu malas un  logu pārsedžu, krāsošana saskaņā ar tehnoloģiju. </t>
  </si>
  <si>
    <t>apmetuma java</t>
  </si>
  <si>
    <t>Griestu apmetuma remonts atsevišķās vietās, ieskaitot vecā apmetuma atdauzīšanu un virsmas sagatavošanu, iekļaujot visus nepieciešamos materiālus (grunts, apmetuma java, arm. siets un citi palīgmateriāli), saskaņā ar tehnoloģiju.</t>
  </si>
  <si>
    <t>Griestu špaktelēšana slīpēšana, gruntēšana un krāsošana, (Ieskaitot visus nepieciešamos materiālus un palīgmateriālus, saskaņā ar tehnologiju).</t>
  </si>
  <si>
    <t xml:space="preserve">ūdensizturīga emulsijas krāsa </t>
  </si>
  <si>
    <t>Knauf GKB 12.5mm, vai ekvivalents</t>
  </si>
  <si>
    <t>šuvju lenta</t>
  </si>
  <si>
    <t>špaktele "Uniflot" vai ekvivalents</t>
  </si>
  <si>
    <t>Piekārto griestu no reģipsa uz metāla karkasa montāža un ventilācijas cauruļu apšūšana ar ģipškartonu, Ieskaitot visus nepieciešamos materiālus un palīgmateriālus, saskaņā ar tehnoloģiju, uguns-reakcijas klase A2-s1,d0</t>
  </si>
  <si>
    <t>Grīdu izlīdzinoša kārta no Vetonīta (3-5mm)</t>
  </si>
  <si>
    <t>grīdlīstes</t>
  </si>
  <si>
    <t>Grīdas hidroizolacija</t>
  </si>
  <si>
    <t>šuvju mastika</t>
  </si>
  <si>
    <t xml:space="preserve">Piekārto griestu no reģipsa (mitrumizturīgs) uz metāla karkasa montāža, ieskaitot visus nepieciešamos materiālus un palīgmateriālus, saskaņā ar tehnologiju </t>
  </si>
  <si>
    <t>Koka grīdlīste ar stiprinājumiem</t>
  </si>
  <si>
    <t>laukuma marķēšana</t>
  </si>
  <si>
    <t>kpl</t>
  </si>
  <si>
    <t>Parketa  virsmas slīpēsana</t>
  </si>
  <si>
    <t>Parketa  virsmas pulēšanai</t>
  </si>
  <si>
    <t>Koka grīdlīstu uzstādīšana</t>
  </si>
  <si>
    <t>Parketa lakošana</t>
  </si>
  <si>
    <t>Sienas skat. AR-24 ÷ AR-28</t>
  </si>
  <si>
    <t>Minerrāl vai akmens vates josla 20mm, Paroc ROB60 vai ekvivalents</t>
  </si>
  <si>
    <t>Grīdas gulšnu uzstādīšana</t>
  </si>
  <si>
    <t>Dēļu grīdas gulšņu izjauksana un utilizācija</t>
  </si>
  <si>
    <t>Flīžu grīdu nojaukšana un utilizācija</t>
  </si>
  <si>
    <t>Armēts izlidzinošais slānis ≥50mm biez. (betona C25/30) izlīdzinošā kārta ar stiegrojuma sieta ø3BI ar soli 200x200mm uzstādīšanu),  ieskaitot  betona sūknēšana un transportēšana</t>
  </si>
  <si>
    <t>Armēts izlidzinošais slānis 80mm biez. (betona C25/30) izlīdzinošā kārta ar stiegrojuma sieta ø3BI ar soli 200x200mm uzstādīšanu),  ieskaitot  betona sūknēšana un transportēšana</t>
  </si>
  <si>
    <t>Grīdas skat. AR-24 ÷ AR-28 (Tips GS-1)</t>
  </si>
  <si>
    <t>Grīdas skat. AR-24 ÷ AR-28 (Tips GS-2)</t>
  </si>
  <si>
    <t>Ziemeļu kļavas dēļi b=27mm</t>
  </si>
  <si>
    <t>1kārta mitrumizturīga finiera b=12mm</t>
  </si>
  <si>
    <t>apstrādāti gulšni 63.5mm, h=38mm</t>
  </si>
  <si>
    <t>4-konusu tipa "termogumijas" b=19mm</t>
  </si>
  <si>
    <t xml:space="preserve">Grīdas skat. AR-24; AR-25 (Tips GS-5) </t>
  </si>
  <si>
    <t>Tips GS-4</t>
  </si>
  <si>
    <t>koka bruses 100x50mm</t>
  </si>
  <si>
    <t>Parketa dēlišu grīdas ieklašana, (saskaņā ar izveidošanas tehnoloģiju, iekļaujot visus nepieciešamos materiālus)</t>
  </si>
  <si>
    <t>Drošības zonas un soda laukumu marķēšana</t>
  </si>
  <si>
    <t>Tips GS-6</t>
  </si>
  <si>
    <t>Tips GS-7</t>
  </si>
  <si>
    <t>Vieglas sanmezglu starpsienas</t>
  </si>
  <si>
    <t>DURVIS  (tehniskie dati sk. AR-13)</t>
  </si>
  <si>
    <t>montāžas putas</t>
  </si>
  <si>
    <t>atdures</t>
  </si>
  <si>
    <t>ugunsdrošās montāžas putas</t>
  </si>
  <si>
    <t>D-4, vienvērtnes durvis 700x2100</t>
  </si>
  <si>
    <t>UD-6 1600x2500 Rw=33dB</t>
  </si>
  <si>
    <t>Divvērtņu ugunsgunsdrošo durvis EI 30 montāžā, skaņu izoējošas koka ugunsdrošas durvis, krāsa RAL7038. Prasības furnitūrai: atvēršanās mehānismus - drošības aizslēgs ar rokturi atbilstoši standartam LVS EN 179, pašaizvēršanās mehānismu, (Furnitūras paraugus saskaņot ar projekta autori) durvju apraksts skat. lapā AR-13, (ieskaitot visus nepieciešamos materiālus)</t>
  </si>
  <si>
    <t>Ugunsgunsdrošo durvis EI 30 montāžā, koka  ugunsdrošas durvis, krāsa RAL7038. Prasības furnitūrai:rokturis ar uzliku un slēdzeni alumīnijs vai nerūs.tērauds, ēņģes no matēti hromēta tērauda, grīdā montēt durvju atduru, (Furnitūras paraugus saskaņot ar projekta autori) durvju apraksts skat. lapā AR-13, (ieskaitot visus nepieciešamos materiālus)</t>
  </si>
  <si>
    <t>Koka iekšdurvis ar skaņas izolāciju montāžā, krāsa RAL7038. (Furnitūras paraugus saskaņot ar projekta autori) durvju apraksts skat. lapā AR-13, (ieskaitot visus nepieciešamos materiālus)</t>
  </si>
  <si>
    <t xml:space="preserve"> montāžas putas</t>
  </si>
  <si>
    <t>Ugunsdrošā stiklotā starpsina ar EI30, ar divvērtņu durvju montāža. Materiāls - alumīnija rāmis, krāsa RAL3011. Durvim paredzēt atvēršanās mehānismus - drošības aizslēgs ar rokturi atbilstoši standartam LVS EN 179. Stiklojums - TRIPLEX.  (Furnitūras paraugus saskaņot ar projekta autori), (ieskaitot visus nepieciešamos materiālus)</t>
  </si>
  <si>
    <t>Iekšējie apdares darbi.</t>
  </si>
  <si>
    <t>Metāla margu kāpnēm un logiem.</t>
  </si>
  <si>
    <t>2.poz.: ᴓ12</t>
  </si>
  <si>
    <t>3.poz.: - 7x30</t>
  </si>
  <si>
    <t>4.poz.: koka rokturis pēc 
pasūrījuna, stiprināt ar 5.poz. - 7x30</t>
  </si>
  <si>
    <t>6.poz.: - 7x30x90 ar 
dekoratīviem bultskrūviem</t>
  </si>
  <si>
    <t>7.poz.: - 7x30 enkurs</t>
  </si>
  <si>
    <t>K1 margas kāpnēm:</t>
  </si>
  <si>
    <t>K2 margas kāpnēm:</t>
  </si>
  <si>
    <t>K3 margas kāpnēm:</t>
  </si>
  <si>
    <t>K4 margas kāpnēm:</t>
  </si>
  <si>
    <t>K5 margas kāpnēm:</t>
  </si>
  <si>
    <t>Logiem, skatīt -1.st. līdz 4.st. plānos</t>
  </si>
  <si>
    <t>1.poz.: □30x30x3</t>
  </si>
  <si>
    <t>WC cilvēkiem ar īpašām vajadzībām aprīkojuma.</t>
  </si>
  <si>
    <t>Speciālais spogulis ar regulējamu slīpumu (607x655mm)</t>
  </si>
  <si>
    <t>Elektriskais roku žāvētājs</t>
  </si>
  <si>
    <t>Papīra dvieļu turētājs</t>
  </si>
  <si>
    <t>Tualetes papīra turētējs</t>
  </si>
  <si>
    <t>Palīgrokturis (rokturstienis) uz durvīm, (sk.durvju spesifikāciju)</t>
  </si>
  <si>
    <t>Nolaižams pie sienas (430x430mm)</t>
  </si>
  <si>
    <t>Stacionāra atbalsta marga pie sienas (L=860mm)</t>
  </si>
  <si>
    <t>Atbalsta margas izlietne (1300mm)</t>
  </si>
  <si>
    <t>WC roku atbalsts invalīdiem sienas 98058</t>
  </si>
  <si>
    <t>Liekts metāla dušas stienis (1450x1450mm)</t>
  </si>
  <si>
    <t>Mediclinics rokturis  pie sienas BAD090CS</t>
  </si>
  <si>
    <t>palīdzības poga, 1.20m(h) no grīdas līmeņa</t>
  </si>
  <si>
    <t>Pacelšanas platforma. Lifts.</t>
  </si>
  <si>
    <t>1.3</t>
  </si>
  <si>
    <t>1.4</t>
  </si>
  <si>
    <t>1.5</t>
  </si>
  <si>
    <t>1.6</t>
  </si>
  <si>
    <t>Pieplūdes reste , RGS2 825x125</t>
  </si>
  <si>
    <t>Gaisa nosūces reste , 800x100</t>
  </si>
  <si>
    <t>Regulējušais vārsts, SKR400</t>
  </si>
  <si>
    <t>Regulējušais vārsts, SKR500</t>
  </si>
  <si>
    <t>Trokšņa slāpētājs, LDR500x500-1000</t>
  </si>
  <si>
    <t xml:space="preserve">Tīrīšanas lūka, </t>
  </si>
  <si>
    <t>Gaisa iznešanas jumtiņš,    800x800</t>
  </si>
  <si>
    <t>Gaisa ieņemšanas reste,    800x800</t>
  </si>
  <si>
    <t xml:space="preserve">Elektrības apsaistes materiālu komplekts, </t>
  </si>
  <si>
    <t xml:space="preserve">Palīgmateriālu komplekts, </t>
  </si>
  <si>
    <t xml:space="preserve">Vibroizolatori agregāta uzstādīšanai, </t>
  </si>
  <si>
    <t xml:space="preserve">Kondensāta novadīšanas cauruļvadu 
un palīgmateriālu komplekts, </t>
  </si>
  <si>
    <t>Ventilācijas sistēma PN1 (Sporta zale)</t>
  </si>
  <si>
    <t xml:space="preserve">Gaisavadi un fasondetāļas: </t>
  </si>
  <si>
    <t>Vitais gaisavads, Ø100</t>
  </si>
  <si>
    <t>Vitais gaisavads, Ø125</t>
  </si>
  <si>
    <t>Vitais gaisavads, Ø160</t>
  </si>
  <si>
    <t>Vitais gaisavads, Ø200</t>
  </si>
  <si>
    <t>Vitais gaisavads, Ø250</t>
  </si>
  <si>
    <t>Vitais gaisavads, Ø315</t>
  </si>
  <si>
    <t>Vitais gaisavads, Ø400</t>
  </si>
  <si>
    <t>Vitais gaisavads, Ø500</t>
  </si>
  <si>
    <t>Gaisa vads no cinkota skārda, 200x150</t>
  </si>
  <si>
    <t>Gaisa vads no cinkota skārda, 200x200</t>
  </si>
  <si>
    <t>Gaisa vads no cinkota skārda, 250x200</t>
  </si>
  <si>
    <t>Gaisa vads no cinkota skārda, 250x250</t>
  </si>
  <si>
    <t>Gaisa vads no cinkota skārda, 300x200</t>
  </si>
  <si>
    <t>Gaisa vads no cinkota skārda, 300x250</t>
  </si>
  <si>
    <t>Gaisa vads no cinkota skārda, 300x300</t>
  </si>
  <si>
    <t>Gaisa vads no cinkota skārda, 400x200</t>
  </si>
  <si>
    <t>Gaisa vads no cinkota skārda, 400x250</t>
  </si>
  <si>
    <t>Gaisa vads no cinkota skārda, 400x300</t>
  </si>
  <si>
    <t>Gaisa vads no cinkota skārda, 400x400</t>
  </si>
  <si>
    <t>Gaisa vads no cinkota skārda, 500x300</t>
  </si>
  <si>
    <t>Gaisa vads no cinkota skārda, 500x400</t>
  </si>
  <si>
    <t>Gaisa vads no cinkota skārda, 500x500</t>
  </si>
  <si>
    <t>Gaisa vads no cinkota skārda, 600x200</t>
  </si>
  <si>
    <t>Gaisa vads no cinkota skārda, 600x300</t>
  </si>
  <si>
    <t>Gaisa vads no cinkota skārda, 600x400</t>
  </si>
  <si>
    <t>Gaisa vads no cinkota skārda, 600x600</t>
  </si>
  <si>
    <t>Gaisa vads no cinkota skārda, 800x300</t>
  </si>
  <si>
    <t>Gaisa vads no cinkota skārda, 800x400</t>
  </si>
  <si>
    <t>Gaisa vads no cinkota skārda, 800x800</t>
  </si>
  <si>
    <t>Gaisa vads no cinkota skārda, 1000x600</t>
  </si>
  <si>
    <t>Gaisa vads no cinkota skārda, 1000x800</t>
  </si>
  <si>
    <t xml:space="preserve">Gaisa vadu paild fasondaļas komplekts, </t>
  </si>
  <si>
    <t xml:space="preserve">Caurimu urbšana, </t>
  </si>
  <si>
    <t xml:space="preserve">Caurimu aiztaisišana pēc montaža, </t>
  </si>
  <si>
    <t>Logu piepludes ierice,  EHA²</t>
  </si>
  <si>
    <t>Pārplūdes restes, 300x100</t>
  </si>
  <si>
    <t>Pārplūdes restes, 300x200</t>
  </si>
  <si>
    <t xml:space="preserve">Esošu ventkanalu tirišana un atjaunošana, </t>
  </si>
  <si>
    <t xml:space="preserve">Esoša ventilacijas sistemas demontāža, </t>
  </si>
  <si>
    <t>Apkures VSH tērauda caurule , 22x1,5</t>
  </si>
  <si>
    <t>Apkures VSH tērauda caurule , 28x1,5</t>
  </si>
  <si>
    <t>Apkures VSH tērauda caurule , 35x1,5</t>
  </si>
  <si>
    <t>Apkures VSH tērauda caurule , 42x1,5</t>
  </si>
  <si>
    <t>Apkures VSH tērauda caurule , 54x1,5</t>
  </si>
  <si>
    <t>Apkures VSH tērauda caurule , 63x2,</t>
  </si>
  <si>
    <t>Apkures VSH tērauda caurule , 72x2</t>
  </si>
  <si>
    <t>Apkures VSH tērauda caurule , 89x2</t>
  </si>
  <si>
    <t>Automātiskais atgaisotājs , Dn 15</t>
  </si>
  <si>
    <t>Ventilis ar uzgali ūdens izlaišanai , Dn 15</t>
  </si>
  <si>
    <t xml:space="preserve">Apkures sistŗmu hidrauliskas pārbaude, </t>
  </si>
  <si>
    <t xml:space="preserve">VSH tērauda caurules fasondetāļas
 un stiprinājumi, </t>
  </si>
  <si>
    <t>m.</t>
  </si>
  <si>
    <t>Ventilācijas sistēma PN2 (Virtuve)</t>
  </si>
  <si>
    <t>Pieplūdes reste , RGS2 525x125</t>
  </si>
  <si>
    <t>Pieplūdes difuzors , TFF-200</t>
  </si>
  <si>
    <t>Nosūces reste , RGS2 325x75</t>
  </si>
  <si>
    <t>Nosūces reste , AT-AG/625x125</t>
  </si>
  <si>
    <t>Nosūces difuzors , DVSN-100</t>
  </si>
  <si>
    <t>Regulējušais vārsts, SKR100</t>
  </si>
  <si>
    <t>Regulējušais vārsts, SKR200</t>
  </si>
  <si>
    <t>Regulējušais vārsts, UTK-400x250</t>
  </si>
  <si>
    <t>Trokšņa slāpētājs, LDR400x300-1000</t>
  </si>
  <si>
    <t>Trokšņa slāpētājs, LDC1000-400</t>
  </si>
  <si>
    <t>Gaisa iznešanas  reste,    600x600</t>
  </si>
  <si>
    <t>Ventilācijas sistēma PN3 (Aktu zale)</t>
  </si>
  <si>
    <t xml:space="preserve">Ugunsdrošības vārsts, UVS-600x400 </t>
  </si>
  <si>
    <t>Trokšņa slāpētājs, LDR600x400-1000</t>
  </si>
  <si>
    <t>Gaisa iznešanas jumtiņš,  600x600</t>
  </si>
  <si>
    <t>Gaisa ieņemšanas reste,    1000x700</t>
  </si>
  <si>
    <t>Gaisa pieplūdes reste , 
PMLc 400-4w+ALSc 315-400</t>
  </si>
  <si>
    <t xml:space="preserve">Kondensāta novadīšanas cauruļvadu un 
palīgmateriālu komplekts, </t>
  </si>
  <si>
    <t>Ventilācijas sistēma PN4 (Macibu klases)</t>
  </si>
  <si>
    <t>Trokšņa slāpētājs, LDR600x300-1000</t>
  </si>
  <si>
    <t>Gaisa iznešanas  reste,    600x300</t>
  </si>
  <si>
    <t>Gaisa ieņemšanas reste,    800x300</t>
  </si>
  <si>
    <t>Ventilācijas sistēma PN5 (Macibu klases)</t>
  </si>
  <si>
    <t>Ventilācijas sistēma PN6 (Macibu klases)</t>
  </si>
  <si>
    <t>Ventilācijas sistēma PN7(Macibu klases)</t>
  </si>
  <si>
    <t>Pieplūdes difuzors , TFF-100</t>
  </si>
  <si>
    <t>Pieplūdes difuzors , TFF-160</t>
  </si>
  <si>
    <t>Nosūces difuzors , DVSN-160</t>
  </si>
  <si>
    <t>Regulējušais vārsts ar elektropedziņu, SKM200</t>
  </si>
  <si>
    <t>Trokšņa slāpētājs, LDR300x300-1000</t>
  </si>
  <si>
    <t>Gaisa iznešanas  reste,    300x300</t>
  </si>
  <si>
    <t>Gaisa ieņemšanas reste,    500x300</t>
  </si>
  <si>
    <t>Ventilācijas sistēma PN8 (Macibu klases)</t>
  </si>
  <si>
    <t>Gaisa iznešanas  reste,    400x300</t>
  </si>
  <si>
    <t xml:space="preserve">Kondensāta novadīšanas cauruļvadu un
 palīgmateriālu komplekts, </t>
  </si>
  <si>
    <t>Ventilācijas sistēma PN9 (Macibu klases)</t>
  </si>
  <si>
    <t>Ventilācijas sistēma PN10 (Macibu klases)</t>
  </si>
  <si>
    <t>Nosūces difuzors , DVSN-200</t>
  </si>
  <si>
    <t>Trokšņa slāpētājs, LDC1000x250</t>
  </si>
  <si>
    <t>Trokšņa slāpētājs, LDR300x200-1000</t>
  </si>
  <si>
    <t>Gaisa iznešanas  reste, Ø250</t>
  </si>
  <si>
    <t>Gaisa ieņemšanas reste,    300x300</t>
  </si>
  <si>
    <t>Ventilācijas sistēma PN11 (Biblioteka un garderobes)</t>
  </si>
  <si>
    <t>Regulējušais vārsts, SKR160</t>
  </si>
  <si>
    <t>Regulējušais vārsts, SKR250</t>
  </si>
  <si>
    <t>Trokšņa slāpētājs, LDC600x250</t>
  </si>
  <si>
    <t>Trokšņa slāpētājs, LDC600x315</t>
  </si>
  <si>
    <t>Trokšņa slāpētājs, LDC600x160</t>
  </si>
  <si>
    <t>Ugunsaizturošs vārsts, SKP-01-160</t>
  </si>
  <si>
    <t>Ugunsaizturošs vārsts, SKP-01-250</t>
  </si>
  <si>
    <t>Ugunsaizturošs vārsts, SKP-01-315</t>
  </si>
  <si>
    <t>Kombineta gaisa  ienemšanas
 iznešanas reste , CVV315</t>
  </si>
  <si>
    <t xml:space="preserve">Kondensāta novadīšanas cauruļvadu
 un palīgmateriālu komplekts, </t>
  </si>
  <si>
    <t>Ventilācijas sistēma PN12 (Kimijas kabinets)</t>
  </si>
  <si>
    <t>Pieplūdes difuzors , TFF-125</t>
  </si>
  <si>
    <t>Nosūces difuzors , DVSN-125</t>
  </si>
  <si>
    <t>Regulējušais vārsts, SKR125</t>
  </si>
  <si>
    <t>Trokšņa slāpētājs, LDC600x200</t>
  </si>
  <si>
    <t>Kombineta gaisa  ienemšanas
 iznešanas reste , CVV200</t>
  </si>
  <si>
    <t>Ventilācijas sistēma N13 (WC)</t>
  </si>
  <si>
    <t>Nosūces difuzors, DVSN-125</t>
  </si>
  <si>
    <t>Trokšņa slāpētājs, LDC600-160</t>
  </si>
  <si>
    <t>Vienvirziena vārsts, RSK160</t>
  </si>
  <si>
    <t>Gaisa iznešanas  reste,    Ø160</t>
  </si>
  <si>
    <t>Ventilācijas sistēma N14 (WC)</t>
  </si>
  <si>
    <t>Ventilācijas sistēma N15 (WC)</t>
  </si>
  <si>
    <t>Ventilācijas sistēma N16 (Trauku mazgašanas mašina)</t>
  </si>
  <si>
    <t>Trokšņa slāpētājs, LDC600-200</t>
  </si>
  <si>
    <t>Vienvirziena vārsts, RSK200</t>
  </si>
  <si>
    <t>Gaisa iznešanas  reste,    Ø200</t>
  </si>
  <si>
    <t>Ventilācijas sistēma N17 (Macību virtūve)</t>
  </si>
  <si>
    <t xml:space="preserve">Virtuves sadzīves nosūce , </t>
  </si>
  <si>
    <t>Trokšņa slāpētājs, LDC1000-250</t>
  </si>
  <si>
    <t>Gaisa iznešanas  reste,    Ø250</t>
  </si>
  <si>
    <t>Ventilācijas sistēma N18 (WC)</t>
  </si>
  <si>
    <t>Nosūces difuzors, DVSN-100</t>
  </si>
  <si>
    <t>Trokšņa slāpētājs, LDC600-125</t>
  </si>
  <si>
    <t>Vienvirziena vārsts, RSK125</t>
  </si>
  <si>
    <t>Gaisa iznešanas  reste,    Ø125</t>
  </si>
  <si>
    <t>Ventilācijas sistēma N19 (WC)</t>
  </si>
  <si>
    <t xml:space="preserve">Ventilācijas sistēma N20 (Sanmezgls) </t>
  </si>
  <si>
    <t>Gaisa iznešanas  jumtiņš,    Ø160</t>
  </si>
  <si>
    <t>Ventilācijas sistēma N21 (Sanmezgls)</t>
  </si>
  <si>
    <t>Ventilācijas sistēma N22, (WC)</t>
  </si>
  <si>
    <t>Gaisa iznešanas  reste,    Ø100</t>
  </si>
  <si>
    <t>Ventilācijas sistēma N23, (WC)</t>
  </si>
  <si>
    <t>Ventilācijas sistēma N24-N25, (Sanmezgls)</t>
  </si>
  <si>
    <t>Ventilācijas sistēma N26, (WC)</t>
  </si>
  <si>
    <t>Gaisa iznešanas jumtiņš,    Ø100</t>
  </si>
  <si>
    <t>Ventilācijas sistēma N27(WC)</t>
  </si>
  <si>
    <t>Ventilācijas sistēma N28(WC)</t>
  </si>
  <si>
    <t>Ventilācijas sistēma DN1-DN6</t>
  </si>
  <si>
    <t>9</t>
  </si>
  <si>
    <t>10</t>
  </si>
  <si>
    <t>Etilēnglikola-ūdens maisījums 40%</t>
  </si>
  <si>
    <t>Izpilddokumentācija</t>
  </si>
  <si>
    <t xml:space="preserve">Ventlācijs sistēmas kaloriferu siltumapgade </t>
  </si>
  <si>
    <t>Apsardzes signalizācijas sistēma</t>
  </si>
  <si>
    <t>Apsardzes signalizācijas 16 zonu paplašinātājs FS9116/8</t>
  </si>
  <si>
    <t>Akumulators 12V/7Ah</t>
  </si>
  <si>
    <t>Tastatūra FS9501LCD</t>
  </si>
  <si>
    <t>Kombinētais: kustības detektors un stikla plīšanas detektors ar kronšteinu</t>
  </si>
  <si>
    <t>1.7</t>
  </si>
  <si>
    <t>Dežuranta datora uzstādīšana un palaišana, t. sk. :</t>
  </si>
  <si>
    <t>Programmnodrošinājums - Windows 7 (x86_64)</t>
  </si>
  <si>
    <t>Memory: 4GB (x86_64)</t>
  </si>
  <si>
    <t>HD: ≥500GB</t>
  </si>
  <si>
    <t xml:space="preserve">Tīklu karte: 2x100Mbit </t>
  </si>
  <si>
    <t>4 x USB porti</t>
  </si>
  <si>
    <t>Skaņas karte</t>
  </si>
  <si>
    <t>USB otiska pele</t>
  </si>
  <si>
    <t>LCD Monitors 21" - 1 gab.</t>
  </si>
  <si>
    <t>1.8</t>
  </si>
  <si>
    <t>Magnētiskais kontakts MS-37</t>
  </si>
  <si>
    <t>1.9</t>
  </si>
  <si>
    <t>Poga</t>
  </si>
  <si>
    <t>1.10</t>
  </si>
  <si>
    <t>Sirēna</t>
  </si>
  <si>
    <t>1.11</t>
  </si>
  <si>
    <t>1.12</t>
  </si>
  <si>
    <t>Kabelis CQR 6х0,22</t>
  </si>
  <si>
    <t>1.13</t>
  </si>
  <si>
    <t>Kabelis 4х2х0,5 UTP 6a. kat.</t>
  </si>
  <si>
    <t>1.14</t>
  </si>
  <si>
    <t>Elektrokabelis 3x1.5 lokans</t>
  </si>
  <si>
    <t>1.15</t>
  </si>
  <si>
    <t>PVC caurule d20</t>
  </si>
  <si>
    <t>1.16</t>
  </si>
  <si>
    <t>1.17</t>
  </si>
  <si>
    <t>Palīgmateriāli</t>
  </si>
  <si>
    <t>Avārijas izējas aprīkojums</t>
  </si>
  <si>
    <t>Durvju elektromagnēts ZW600</t>
  </si>
  <si>
    <t>Durvju moduļis FS8302PX12</t>
  </si>
  <si>
    <t>Durvju atvēršanas poga</t>
  </si>
  <si>
    <t>Sistēmas palaišana un nodošana ekspluatācijā</t>
  </si>
  <si>
    <t>Personāla apmācība</t>
  </si>
  <si>
    <t>Apsardzes signalizācijas sistēma.</t>
  </si>
  <si>
    <t>Telekomunīkācīju tīkls.</t>
  </si>
  <si>
    <t>Telekomunīkācīju tīkls</t>
  </si>
  <si>
    <t>Skapis 19" 42U 600x2000x600</t>
  </si>
  <si>
    <t>Skapis 19" 27U 600x600x600</t>
  </si>
  <si>
    <t xml:space="preserve">Zemējuma komplekts </t>
  </si>
  <si>
    <t>Nepārtrauktais barošanas bloks 19" 3000VA On-Line</t>
  </si>
  <si>
    <t>Ventilatoru plate ar 4 ventilatoriem + termostats 19" 42U skapim</t>
  </si>
  <si>
    <t>Ventilatoru plate ar 2 ventilatoriem + termostats 19" 27U skapim</t>
  </si>
  <si>
    <t>Komutācijas panelis, 1U, 19", 24xRJ45, UTP, 6a. kat.</t>
  </si>
  <si>
    <t xml:space="preserve">Komutācijas panelis, 1U, 19", 12xFO MM 50/125 LC </t>
  </si>
  <si>
    <t xml:space="preserve">Komutācijas panelis, 1U, 19", 24xFO MM 50/125 LC </t>
  </si>
  <si>
    <t>Pigtail 9/125 1m LC MM un termo caurule 6cm</t>
  </si>
  <si>
    <t>11</t>
  </si>
  <si>
    <t>Kabeļu organizātors, 1U, 19"</t>
  </si>
  <si>
    <t>12</t>
  </si>
  <si>
    <t xml:space="preserve">Vert. kabeļu organizators 42U </t>
  </si>
  <si>
    <t>13</t>
  </si>
  <si>
    <t>19" plaukts 600mm (skapjiem ar dz. 600mm)</t>
  </si>
  <si>
    <t>14</t>
  </si>
  <si>
    <t>Elektrobarošanas rozešu bloks, 1U, 19', 9x2P+E</t>
  </si>
  <si>
    <t>15</t>
  </si>
  <si>
    <t>Datoru rozete ar rāmi, 1xRJ45, 6a. kat. Z/A (marku saskaņot būvniecības laikā)</t>
  </si>
  <si>
    <t>16</t>
  </si>
  <si>
    <t>Datoru rozete ar rāmi, 2xRJ45, 6a. kat. Z/A (marku saskaņot būvniecības laikā)</t>
  </si>
  <si>
    <t>17</t>
  </si>
  <si>
    <t xml:space="preserve">Savienotājkabelis 1m. Cat6a </t>
  </si>
  <si>
    <t>18</t>
  </si>
  <si>
    <t>Savienotājkabelis 2m. Cat6a</t>
  </si>
  <si>
    <t>19</t>
  </si>
  <si>
    <t>Savienotājkabelis 2m. LC-LC MM 50/125 Duplex</t>
  </si>
  <si>
    <t>20</t>
  </si>
  <si>
    <t>Kabelis UTP 4x2x0,5 6a. kat. LSZH</t>
  </si>
  <si>
    <t>21</t>
  </si>
  <si>
    <t>Kabelis 4x50/125 MM FO</t>
  </si>
  <si>
    <t>22</t>
  </si>
  <si>
    <t>PVC caurule D=50</t>
  </si>
  <si>
    <t>23</t>
  </si>
  <si>
    <t>PVC caurule D=20</t>
  </si>
  <si>
    <t>24</t>
  </si>
  <si>
    <t xml:space="preserve">Optisko škiedru kabeļa metīnāšanas darbi </t>
  </si>
  <si>
    <t>25</t>
  </si>
  <si>
    <t>26</t>
  </si>
  <si>
    <t>27</t>
  </si>
  <si>
    <t>28</t>
  </si>
  <si>
    <t>Testēšanas darbi</t>
  </si>
  <si>
    <t>29</t>
  </si>
  <si>
    <t>VoIP telefonija</t>
  </si>
  <si>
    <t>30</t>
  </si>
  <si>
    <t>Telefonu IP stācija - MyPBX U100</t>
  </si>
  <si>
    <t>31</t>
  </si>
  <si>
    <t>Modulis - BRI Module (2 BRI ports)</t>
  </si>
  <si>
    <t>32</t>
  </si>
  <si>
    <t>IP telefons: Yealink SIP-T19P</t>
  </si>
  <si>
    <t>33</t>
  </si>
  <si>
    <t>IP telefons: Yealink SIP-T27P</t>
  </si>
  <si>
    <t>34</t>
  </si>
  <si>
    <t>Modulis IP telefonam: IP Phone Expansion Module ( LCD )- EXP39</t>
  </si>
  <si>
    <t>35</t>
  </si>
  <si>
    <t>VoIP konfigurēšanas un testēšanas darbi</t>
  </si>
  <si>
    <t>36</t>
  </si>
  <si>
    <t>Telekommunikācijas tīklu iekārtas</t>
  </si>
  <si>
    <t>37</t>
  </si>
  <si>
    <t>Optiskais komutators OS6450-U24</t>
  </si>
  <si>
    <t>38</t>
  </si>
  <si>
    <t>Barošānas bloks OS6450-BP</t>
  </si>
  <si>
    <t>39</t>
  </si>
  <si>
    <t>Komutators OS6350-48</t>
  </si>
  <si>
    <t>40</t>
  </si>
  <si>
    <t>PoE komutators OS6350-P48</t>
  </si>
  <si>
    <t>41</t>
  </si>
  <si>
    <t>PoE Komutators OS6350-P24</t>
  </si>
  <si>
    <t>42</t>
  </si>
  <si>
    <t>Komutators OS6350-24</t>
  </si>
  <si>
    <t>43</t>
  </si>
  <si>
    <t>SFP 1000BaseSX</t>
  </si>
  <si>
    <t>44</t>
  </si>
  <si>
    <t>Wi-Fi ruteris - OAW-IAP103-RW</t>
  </si>
  <si>
    <t>45</t>
  </si>
  <si>
    <t>46</t>
  </si>
  <si>
    <t>47</t>
  </si>
  <si>
    <t>Konfigurēšanas un testēšanas darbi</t>
  </si>
  <si>
    <t>48</t>
  </si>
  <si>
    <t>Projektoru pieslēgšana</t>
  </si>
  <si>
    <t>49</t>
  </si>
  <si>
    <t xml:space="preserve">HDMI raidītājs / HDMI uztvērējs </t>
  </si>
  <si>
    <t>50</t>
  </si>
  <si>
    <t>Savienotajkabelis 5e kat. 25m</t>
  </si>
  <si>
    <t>51</t>
  </si>
  <si>
    <t>HDMI kabelis 3m (HDMI 2.0 4K/2K 60Hz)</t>
  </si>
  <si>
    <t>HDMI kabelis 1m (HDMI 2.0 4K/ 2K 60Hz)</t>
  </si>
  <si>
    <t>Citi pasākumi</t>
  </si>
  <si>
    <t>Lattelecom, Dautkom TV un Aircom esošo elektronisko sakāru tīklu saglabāšana</t>
  </si>
  <si>
    <t>Konferenču zāle un aktu zāle tehniskais aprīkojums.</t>
  </si>
  <si>
    <t>I</t>
  </si>
  <si>
    <t>Konferenču zāle tehniskais aprīkojums</t>
  </si>
  <si>
    <t>Tehniska aprīkojuma un gaismas iekārtas  montāža konferenču zālē, iekļaujot visus nepieciešamajos materiālus un palīgmateriālus, t. sk.</t>
  </si>
  <si>
    <t>Pastiprinātājs DAP-Audio ZA-9120TU</t>
  </si>
  <si>
    <t>Skaļrunis DAP-Audio WMS-40W</t>
  </si>
  <si>
    <t>Skaņu regulators VC 60RX</t>
  </si>
  <si>
    <t>Logitech GROUP +Logitech GROUP Expansion Mics</t>
  </si>
  <si>
    <t>Projektors Optoma W320USTi (touch interactive)</t>
  </si>
  <si>
    <t>Statīvs OWM2000</t>
  </si>
  <si>
    <t>Full HD 1080p bezvadu uztvērējs raidītājs WHD200</t>
  </si>
  <si>
    <t>Full HD 1080p bezvadu prezentācijas iekārtas - WPS Pro</t>
  </si>
  <si>
    <t>Ekrāns DS-1123PMG+</t>
  </si>
  <si>
    <t>Audio kabeļis 2x1,5mm2</t>
  </si>
  <si>
    <t xml:space="preserve">Savienotājkabelis  audio 3,5mm x2 RCA </t>
  </si>
  <si>
    <t>Audio rozete  wall plate 2 speakers</t>
  </si>
  <si>
    <t>II</t>
  </si>
  <si>
    <t>Aktu zāle tehniskais aprīkojums</t>
  </si>
  <si>
    <t>Tehniska aprīkojuma un gaismas iekārtas  montāža aktu zālē, iekļaujot visus nepieciešamajos materiālus un palīgmateriālus, t. sk.</t>
  </si>
  <si>
    <t xml:space="preserve">Aktīvā skanda AudioFocus EVO 15a </t>
  </si>
  <si>
    <t xml:space="preserve">Aktīvais sabvūferis AudioFocus EVO Sub18a </t>
  </si>
  <si>
    <t>Skatuves monitors AudioFocus EVO 10a</t>
  </si>
  <si>
    <t>Digitālā mikserpults BEHRINGER X32 COMPACT</t>
  </si>
  <si>
    <t>Stage Box BEHRINGER S16</t>
  </si>
  <si>
    <t>Bezvadu mikrofons Audio Technica ATW-3141B</t>
  </si>
  <si>
    <t xml:space="preserve">Mikrofons AUDIO TECHNICA PRO41 </t>
  </si>
  <si>
    <t>Skandu statīvi K&amp;M Distance rod</t>
  </si>
  <si>
    <t xml:space="preserve">Mikrofonu statīvi KÖNIG &amp; MEYER 210/2  </t>
  </si>
  <si>
    <t>Cat 5 kabelis  KLOTZ CAT5 Mobil 50m</t>
  </si>
  <si>
    <t>LED Prožektori LED PAR 64 18x10W RGBW</t>
  </si>
  <si>
    <t>LED prožektori Freneļi Showtec Performer 3000 LED  32x 10W Cree</t>
  </si>
  <si>
    <t xml:space="preserve">Gaismas vadības pults Showtec SC-2412 </t>
  </si>
  <si>
    <t>XLR konektori  Neutrik NC3MXX</t>
  </si>
  <si>
    <t>XLR konektori  Neutrik NC3FXX</t>
  </si>
  <si>
    <t xml:space="preserve">DMX vads KLOTZ OT206 AES/EBU DIGITAL CABLE </t>
  </si>
  <si>
    <t xml:space="preserve">Skaņas vads KLOTZ MY206SW </t>
  </si>
  <si>
    <t>DMX spliteris Showtec DB-6i DMX Splitter</t>
  </si>
  <si>
    <t>19" kaste - ROADINGER Steel cabinet SRT-19, 16U with door</t>
  </si>
  <si>
    <t>Skatuves mehānika  stangas ar Rokas vinča "gliemeža" tipa reduktoru 250 kg.</t>
  </si>
  <si>
    <t xml:space="preserve">Projektors Optoma ProScene WU515T </t>
  </si>
  <si>
    <t>Projektora statīvs OCM815B00</t>
  </si>
  <si>
    <t>Ekrāns motorized rear projection screen 16:10 , 400x225m</t>
  </si>
  <si>
    <t>Cd atskaņotājs DENON DN-501C CD</t>
  </si>
  <si>
    <t>USB atskaņotājs DENON DN-F300</t>
  </si>
  <si>
    <t>Transporta kaste atskaņotājam 6U</t>
  </si>
  <si>
    <t>2.29</t>
  </si>
  <si>
    <t>Grīdas kārba  200x200mm RJ45 x2,220v x2, XLR x4</t>
  </si>
  <si>
    <t>2.30</t>
  </si>
  <si>
    <t>Bezvadu tīkla stacija Apple Airport Extreme rūteris (ME918Z/A)</t>
  </si>
  <si>
    <t>2.31</t>
  </si>
  <si>
    <t>Led Prožektors 100w 6500K</t>
  </si>
  <si>
    <t>2.32</t>
  </si>
  <si>
    <t>Gumijas kabelis H07RN-F 3x1.5mm²</t>
  </si>
  <si>
    <t>2.34</t>
  </si>
  <si>
    <t>Cisco SLM2024T-EU SMART switch L2 24x1GB</t>
  </si>
  <si>
    <t>2.36</t>
  </si>
  <si>
    <t>Powercone konektori NAC3FCA, NAC3FCB</t>
  </si>
  <si>
    <t>2.37</t>
  </si>
  <si>
    <t>XLR Spliteris Behringer ULTRALINK MS8000</t>
  </si>
  <si>
    <t>2.38</t>
  </si>
  <si>
    <t>Dators 15.6" HD, Core i5-6200U, 4GB, 500GB, Windows 10 Pro</t>
  </si>
  <si>
    <t>2.39</t>
  </si>
  <si>
    <t>Savienotājkabelis Klotz Cat6a -5m</t>
  </si>
  <si>
    <t>2.40</t>
  </si>
  <si>
    <t>Savienotājkabelis Klotz Cat6a -3m</t>
  </si>
  <si>
    <t>2.41</t>
  </si>
  <si>
    <t>Kabelis CAT6a U/UTP - 500 MHz</t>
  </si>
  <si>
    <t>2.42</t>
  </si>
  <si>
    <t>Gaismas iekārtas STIPRINĀŠANAS ĀĶIS 500KG</t>
  </si>
  <si>
    <t>Gaismas iekārtas drošības trose Ø 4 mm BGV-C1, with safety ring, Certified</t>
  </si>
  <si>
    <t>Gaismas un skaņas iekārtas programmēšana.</t>
  </si>
  <si>
    <t>Skatuves mehānika, skaņas un gaismas iekārtas, regulēšana</t>
  </si>
  <si>
    <t>Videonovērošanas sistēma.</t>
  </si>
  <si>
    <t>Videonovērošanas sistēma</t>
  </si>
  <si>
    <r>
      <rPr>
        <b/>
        <sz val="10"/>
        <rFont val="Arial"/>
        <family val="2"/>
      </rPr>
      <t>Videoserveris:</t>
    </r>
    <r>
      <rPr>
        <sz val="10"/>
        <rFont val="Arial"/>
        <family val="2"/>
      </rPr>
      <t>* Ieraksts no 64 IP videokamerām ar kvalitāti ne zemāku kā 3Mp H.264, MJPEG, 25 kadri sekundē katrai videokamerai 31 dienas laikā pastāvīgā ieraksta režīmā.* Videoattēlu apskatīšana no 64 IP videokamerām ar kvalitāti ne zemāku kā 3M reālā laika režīmā.* Minimālais cieto disku skaits un apjoms - 16 x 6Tb* RAID 0/1/5/6/10/50/60* Attālināto lietotāju minimālais skaits - 20.* Pieslēgums pie Ethernet RJ-45 10/100/1000M* Tīkla funkcijas - HTTP, TCP/IP, UPNP, RTSP, UDP, SMTP, NTP, DHCP, DNS, IP Filter, PPPOE, DDNS, FTP, Alarm Server, IP Search.</t>
    </r>
  </si>
  <si>
    <r>
      <rPr>
        <b/>
        <sz val="10"/>
        <rFont val="Arial"/>
        <family val="2"/>
      </rPr>
      <t>Videoattēla reālaja laika skatīšanas serveris:</t>
    </r>
    <r>
      <rPr>
        <sz val="10"/>
        <rFont val="Arial"/>
        <family val="2"/>
      </rPr>
      <t>* Monitoru pieslēgšanas izejas - HDMI.* Monitoru pieslēgšanas izeju skaits -  2 gab.* Uz monitora izvadāmo videoattēlu minimālās prasības - 32xD1, 25 kadri sekundē.</t>
    </r>
  </si>
  <si>
    <r>
      <rPr>
        <b/>
        <sz val="10"/>
        <rFont val="Arial"/>
        <family val="2"/>
      </rPr>
      <t>Iekšēja kupola antivandāla IP videokamera:</t>
    </r>
    <r>
      <rPr>
        <sz val="10"/>
        <rFont val="Arial"/>
        <family val="2"/>
      </rPr>
      <t>* Izšķirtspēja - 3.0M (2048x1536)/1080P (1920x1080)/720P (1280x720)/D1 (704x480)* Kadru skaits sekundē - 25* Kompresijas protokols - H.264/MJPEG &amp; Dual-stream encoding* Minimālais apgaismojums - 0.1Lux/F1.2 (krāsu režīms), 0.01Lux/F1.2 (melnbalts režīms)* Focal length - 2.8 mm* BLC/HLC/DWDR* 1 trauksmes ieeja, 1 trauksmes izeja* PoE (802.3af)* Attālināto lietotāju minimālais skaits - 20* Max. IR LEDs Length - 20 m.* IP66; IK10.</t>
    </r>
  </si>
  <si>
    <r>
      <t>Ārēja cilindrīska IP videokamera:</t>
    </r>
    <r>
      <rPr>
        <sz val="10"/>
        <rFont val="Arial"/>
        <family val="2"/>
      </rPr>
      <t>* Izšķirtspēja - 3.0M (2048x1536)/1080P (1920x1080)/720P (1280x720)/D1 (704x480)* Kadru skaits sekundē - 25* Kompresijas protokols - H.264/MJPEG &amp; Dual-stream encoding* Minimālais apgaismojums - 0.1Lux/F1.2 (krāsu režīms), 0.01Lux/F1.2 (melnbalts režīms)* Focal length - 2.8 mm* BLC/HLC/DWDR* 1 trauksmes ieeja, 1 trauksmes izeja* PoE (802.3af)* Attālināto lietotāju minimālais skaits - 20* Max. IR LEDs Length - 20 m.* IP66, IK10;</t>
    </r>
  </si>
  <si>
    <t>Monitors 32" ar HDMI ieēju</t>
  </si>
  <si>
    <t>HDMI kabelis 25 m</t>
  </si>
  <si>
    <t>HDMI pagarinātajs/pastiprinatājs līdz 50m</t>
  </si>
  <si>
    <t>USB 2.0 pagarinātājs/pastiprinātājs līdz 50</t>
  </si>
  <si>
    <t xml:space="preserve">Datoru optiskā USB pele </t>
  </si>
  <si>
    <t>Datoru rozete 1xRJ45, 6a. kat.</t>
  </si>
  <si>
    <t xml:space="preserve">Savienotājkabelis 1m. Cat6a (zaļa krāsa) </t>
  </si>
  <si>
    <t>Savienotājkabelis 2m. Cat6a (melna krāsa)</t>
  </si>
  <si>
    <t>Automātiska ugunsgrēka signalizācija.</t>
  </si>
  <si>
    <t>Automātiska ugunsgrēka signalizācija</t>
  </si>
  <si>
    <t>Akumulators 12V/12Ah</t>
  </si>
  <si>
    <t>Akumulators 12V/18Ah</t>
  </si>
  <si>
    <t>Skapis akumulatoriem</t>
  </si>
  <si>
    <t>Ugunsgrēka staru dūmu detektors TBD-50;TBD-40/80;TBR-5100;</t>
  </si>
  <si>
    <t>Štrabu griešana</t>
  </si>
  <si>
    <t>Montāžas palīgmateriāli</t>
  </si>
  <si>
    <t>Izpilddokumentācijas izgatavošana</t>
  </si>
  <si>
    <t>Rezerve</t>
  </si>
  <si>
    <t>Akumulators 12V 12Ah</t>
  </si>
  <si>
    <t>Reset poga</t>
  </si>
  <si>
    <t xml:space="preserve">Ugunsdrošības signalizācijas kabeļis 1x2x0.8 E30 </t>
  </si>
  <si>
    <t>Elektrobarošanas kabelis E30 3x1.5</t>
  </si>
  <si>
    <t>Kabeļu kanāls 10x20</t>
  </si>
  <si>
    <t>Ugunsgrēka izziņošanas sistēma.</t>
  </si>
  <si>
    <t>19" Telekomunikāciju skapis 600x800 ar ventilatoru 42U</t>
  </si>
  <si>
    <t>Zemejūma komplekts</t>
  </si>
  <si>
    <t>Vert. kabeļu organizators 42U</t>
  </si>
  <si>
    <t>19" plaukts 600mm, 80 kg slodzei (skapjiem ar dz. 800mm)</t>
  </si>
  <si>
    <t>Automātiskais slēdzis 1P 16A C-tipa</t>
  </si>
  <si>
    <t>Pārsprieguma novādītājs III kl. P-DA 230</t>
  </si>
  <si>
    <t>Plena nedēļas taimeris PLN‑6TMW</t>
  </si>
  <si>
    <t>Kabelis 2 RCA Male L/R-1,5m</t>
  </si>
  <si>
    <t>Kabelis XLR -1,5 m</t>
  </si>
  <si>
    <t>Mikrofons, LBB 1956/00</t>
  </si>
  <si>
    <t>Mikrofona zonu paplašinātājs, LBB 1957/00</t>
  </si>
  <si>
    <t>Nepārtrauktās barošanas bloks, PLN-24CH12</t>
  </si>
  <si>
    <t>Akumulators  80 Ah/12V BTL12-80</t>
  </si>
  <si>
    <t>Sienas skaļrunis LB1-UW06-L</t>
  </si>
  <si>
    <t>Termoizturīgs kabelis JE-HH FE180 E30 1x2x0,8</t>
  </si>
  <si>
    <t>El. kabelis 3x2.5 E30</t>
  </si>
  <si>
    <t xml:space="preserve">Mikrofonu kabelis UTP 5e kat. </t>
  </si>
  <si>
    <t>Neparedzēti materiāli</t>
  </si>
  <si>
    <t>Rezerve:</t>
  </si>
  <si>
    <t xml:space="preserve">Kanala ventilators K160  L(N)=240m³/h; H=150Pa,   Nel.= 76W; Automātikas un spēka sadales daļa
komplektā ir ierēķināti: 
-spēka sadales skapis,
-kontaktori, automāti u.c.        </t>
  </si>
  <si>
    <t>Gaisa iznešanas jumtiņš Ø100</t>
  </si>
  <si>
    <t>Sistēmas marķēšanas materiāli</t>
  </si>
  <si>
    <t xml:space="preserve">Kanala ventilators K160  L(N)=240m³/h; H=150Pa,  Nel.= 76W; Automātikas un spēka sadales daļa
komplektā ir ierēķināti: 
-spēka sadales skapis,
-kontaktori, automāti u.c.        </t>
  </si>
  <si>
    <t xml:space="preserve">Kanala ventilators K250, L(N)=600m³/h; H=175Pa , Nel.= 105W;  Automātikas un spēka sadales daļa komplektā ir ierēķināti: 
-spēka sadales skapis,
-kontaktori, automāti u.c.        </t>
  </si>
  <si>
    <t xml:space="preserve">Kanala ventilators K250, L(N)=600m³/h; H=175Pa, Nel.= 105W; Automātikas un spēka sadales daļa
komplektā ir ierēķināti: 
-spēka sadales skapis,
-kontaktori, automāti u.c.        </t>
  </si>
  <si>
    <t xml:space="preserve">Kanala ventilators K160  L(N)=240m³/h; H=150Pa,  Nel.= 76W;  Automātikas un spēka sadales daļa komplektā ir ierēķināti: 
-spēka sadales skapis,
-kontaktori, automāti u.c.        </t>
  </si>
  <si>
    <t xml:space="preserve">Kanala ventilators K160  L(N)=240m³/h; H=150Pa, Nel.= 76W;  Automātikas un spēka sadales daļa komplektā ir ierēķināti: 
-spēka sadales skapis,
-kontaktori, automāti u.c. </t>
  </si>
  <si>
    <t xml:space="preserve">Kanala ventilators K160  L(N)=240m³/h; H=150Pa, Nel.= 76W; Automātikas un spēka sadales daļa komplektā ir ierēķināti: 
-spēka sadales skapis,
-kontaktori, automāti u.c.        </t>
  </si>
  <si>
    <t>Iekšējais ūdensvads, U1</t>
  </si>
  <si>
    <t>Daudzslāņu plastmasas iekšējā ūdensvada caurule Dn15, montāža</t>
  </si>
  <si>
    <t>Daudzslāņu plastmasas iekšējā ūdensvada caurule Dn20, montāža</t>
  </si>
  <si>
    <t>Daudzslāņu plastmasas iekšējā ūdensvada caurule Dn32, montāža</t>
  </si>
  <si>
    <t>Daudzslāņu plastmasas iekšējā ūdensvada caurule Dn50, montāža</t>
  </si>
  <si>
    <t>Pretkondensāta izolācijas caurulei ar ārējo diametru d.15, montāža ap cauruli</t>
  </si>
  <si>
    <t>Pretkondensāta izolācijas caurulei ar ārējo diametru d.20, montāža ap cauruli</t>
  </si>
  <si>
    <t>Pretkondensāta izolācijas caurulei ar ārējo diametru d.32, montāža ap cauruli</t>
  </si>
  <si>
    <t>Pretkondensāta izolācijas caurulei ar ārējo diametru d.50, montāža ap cauruli</t>
  </si>
  <si>
    <t>Cauruļvada stiprinājumi (stiprinājumi ik pēc ~1 m), montāža</t>
  </si>
  <si>
    <t>Siltummezgla apsaiste (Būvnieks nepieciešamo darba apjomus precize objekta apsekošanas laikā)</t>
  </si>
  <si>
    <t>Iekšējais ūdensvads, T3</t>
  </si>
  <si>
    <t>Akmens vates vai kaučuka siltumizolācijas čaula caurulei ar ārējo diametru d.15, grūti degoša, ar folija tinumu, siltumizolācijas čaulas montāža ap cauruli</t>
  </si>
  <si>
    <t>Akmens vates vai kaučuka siltumizolācijas čaula caurulei ar ārējo diametru d.20, grūti degoša, ar folija tinumu, siltumizolācijas čaulas montāža ap cauruli</t>
  </si>
  <si>
    <t>Akmens vates vai kaučuka siltumizolācijas čaula caurulei ar ārējo diametru d.32, grūti degoša, ar folija tinumu, siltumizolācijas čaulas montāža ap cauruli</t>
  </si>
  <si>
    <t>Iekšējais ūdensvads, T4</t>
  </si>
  <si>
    <t>Daudzslāņu plastmasas iekšējā ūdensvada caurule Dn25, montāža</t>
  </si>
  <si>
    <t>Akmens vates vai kaučuka siltumizolācijas čaula caurulei ar ārējo diametru d.25, grūti degoša, ar folija tinumu, siltumizolācijas čaulas montāža ap cauruli</t>
  </si>
  <si>
    <t>Iekšējā kanalizācija, K1</t>
  </si>
  <si>
    <t>Tīrīšanas lūka Dn50 grīdā, montāža</t>
  </si>
  <si>
    <t>Tīrīšanas lūka Dn75 grīdā, montāža</t>
  </si>
  <si>
    <t>Tīrīšanas lūka Dn110 grīdā, montāža</t>
  </si>
  <si>
    <t>Revīzijas lūka Dn110 uz kanalizācijas stāvvada, montāža</t>
  </si>
  <si>
    <t>Ugunsdrošā manžete uz kanalizācijas stāvvada, montāža</t>
  </si>
  <si>
    <t>Līkumi, veidgabali, savienojumi, blīvējumi u.c.</t>
  </si>
  <si>
    <t>Iekšējā kanalizācija, K3</t>
  </si>
  <si>
    <t>Santehnika</t>
  </si>
  <si>
    <t>Roku mazgājamā izlietne KOLO (vai ekvivalents) ar plastmasas virsmu komplektā ar jaucējkrānu, karstā/aukstā ūdens noslēgventiļiem, izlietnes balstu, stiprinājumiem u.c., montāža</t>
  </si>
  <si>
    <t>Roku mazgājamā izlietne KOLO (vai ekvivalents) cilvēkiem ar īpašām vajadzībām komplektā ar plastmasas virsmu  ar jaucējkrānu, karstā/aukstā ūdens noslēgventiļiem, izlietnes balstu, stiprinājumiem u.c., montāža</t>
  </si>
  <si>
    <t>Klozetpods KOLO (vai ekvivalents)  komlektā ar skalojamo kasti, lodveida ūdensvada ventili, aukstā ūdens noslēgventili, ūdensvada pievienojumu Dn15, stiprinājuma skrūvēm u.c., montāža</t>
  </si>
  <si>
    <t>Klozetpods KOLO (vai ekvivalents) cilvēkiem ar īpašām vajadzībām komlektā ar skalojamo kasti, lodveida ūdensvada ventili, aukstā ūdens noslēgventili, ūdensvada pievienojumu Dn15, stiprinājuma skrūvēm u.c., montāža</t>
  </si>
  <si>
    <t>Sienas pisuārs KOLO (vai ekvivalents)  komplektā ar ūdens pievadu, sifonu, stiprinājuma aksrūvēm u.c., montāža</t>
  </si>
  <si>
    <t>Duškabīne KOLO (vai ekvivalents)  komplektā ar stikla sienām, aukstā/karstā ūdens pievadu, grīdas vannu, sifonu, stiprinājuma aksrūvēm u.c., montāža</t>
  </si>
  <si>
    <t>Virtuves izlietne komplektā ar jaucējkrānu, karstā/aukstā ūdens noslēgventiļiem, izlietnes balstu, stiprinājumiem u.c., montāža</t>
  </si>
  <si>
    <t>Laisīšanas krans Dn20 ar noslēgventili telpās un šļūtenes pievienojumu sienas nišā</t>
  </si>
  <si>
    <t>Līkumi, savienojumi, diametru pārejas, blīvējums u.c., montāža</t>
  </si>
  <si>
    <t>Grīdas traps ar sifonu, izvads Dn50, montāža</t>
  </si>
  <si>
    <t>Iekšējā ugunsdzēsība</t>
  </si>
  <si>
    <t>Iekšējā ugunsdzēsības ūdensvada krāna kastes, komplektā ar 1 d.51 mm ugusdzēsības šļūtenēm L=30 m, 1 ugunsdzēsības stobru d.51 mm, stobra izplūdes d.13 mm, kompakta strūkla  montāža</t>
  </si>
  <si>
    <t>Tērauda ūdensvada caurule d.100 mm, montāža pie sienas</t>
  </si>
  <si>
    <t>Tērauda ūdensvada caurule d.65 mm, montāža pie sienas</t>
  </si>
  <si>
    <t>Tērauda ūdensvada caurule d.50 mm, montāža pie sienas</t>
  </si>
  <si>
    <t>Ārējā kanalizācija.</t>
  </si>
  <si>
    <t xml:space="preserve">Radiatoru ieskrūvējamie atgaisotāji , </t>
  </si>
  <si>
    <t xml:space="preserve">Atpakaļgaitas regulators, </t>
  </si>
  <si>
    <t>Automātiskais atgaisotājs , DN15</t>
  </si>
  <si>
    <t>Iztukšošanas ventilis, DN15</t>
  </si>
  <si>
    <t>Apkures VSH tērauda caurule , 15x1,2</t>
  </si>
  <si>
    <t>Apkures VSH tērauda caurule , 18x1,3</t>
  </si>
  <si>
    <t xml:space="preserve">Balansēšanas vārsts AVS-PV, DN20 </t>
  </si>
  <si>
    <t>Balansēšanas vārsts AVS-PV, DN25</t>
  </si>
  <si>
    <t xml:space="preserve">Balansēšanas vārsts AVS-PV, DN32 </t>
  </si>
  <si>
    <t xml:space="preserve">Noslēgvārsts  AVS-M, DN20 </t>
  </si>
  <si>
    <t>Noslēgvārsts  AVS-M, DN25</t>
  </si>
  <si>
    <t xml:space="preserve">Noslēgvārsts  AVS-M, DN32 </t>
  </si>
  <si>
    <t xml:space="preserve">Noslēgvārsts  , DN32 </t>
  </si>
  <si>
    <t>Noslēgvārsts  , DN40</t>
  </si>
  <si>
    <t>Noslēgvārsts  , DN50</t>
  </si>
  <si>
    <t xml:space="preserve">Esošo akures sistemas demontāža, </t>
  </si>
  <si>
    <t xml:space="preserve">Caurumu urbšana un atjaunošanas darbi , </t>
  </si>
  <si>
    <t xml:space="preserve">Papildmateriāli un palīgdarbi  tai skaitā siltumnesēja apkures sistēmas noliešanas un piepildīšana. , </t>
  </si>
  <si>
    <t>Noslēgvārsts</t>
  </si>
  <si>
    <t>Apkure</t>
  </si>
  <si>
    <t>Atloku filtrs, Dn65</t>
  </si>
  <si>
    <t>Manometrs , 16 bar</t>
  </si>
  <si>
    <t>Lodveida ventilis ar atgaisotāju, Dn15</t>
  </si>
  <si>
    <t>Lodveida ventilis (uzmavas), Dn15</t>
  </si>
  <si>
    <t xml:space="preserve">Stikla termometrs 0-130OC, </t>
  </si>
  <si>
    <t>Lodveida ventilis , Dn40</t>
  </si>
  <si>
    <t>Lodveida ventilis , Dn32</t>
  </si>
  <si>
    <t>Lodveida ventilis , Dn25</t>
  </si>
  <si>
    <t>Lodveida ventilis , Dn15</t>
  </si>
  <si>
    <t>Lodveida ventilis ar atgaisotāju, Dn20</t>
  </si>
  <si>
    <t>Balansēšanas ventilis, Dn40</t>
  </si>
  <si>
    <t>Balansēšanas ventilis, Dn32</t>
  </si>
  <si>
    <t>Vītņu sietiņfiltrs, Dn80</t>
  </si>
  <si>
    <t>Vītņu sietiņfiltrs, Dn15</t>
  </si>
  <si>
    <t>Vienvirziena vārsts, Dn15</t>
  </si>
  <si>
    <t>Reduktors, D04, Dn15</t>
  </si>
  <si>
    <t>Manometrs , 10 bar</t>
  </si>
  <si>
    <t xml:space="preserve">Bimetāliskais termometrs 0-100OC, </t>
  </si>
  <si>
    <t xml:space="preserve">Elektroapsaistes materiālu komplekts, </t>
  </si>
  <si>
    <t>Lodveida ventilis , Dn80</t>
  </si>
  <si>
    <t>Lodveida ventilis (uzmavas), Dn20</t>
  </si>
  <si>
    <t>Vītņu sietiņfiltrs, Dn32</t>
  </si>
  <si>
    <t>Vītņu sietiņfiltrs, Dn50</t>
  </si>
  <si>
    <t>Vienvirziena vārsts, Dn32</t>
  </si>
  <si>
    <t>Vienvirziena vārsts, Dn50</t>
  </si>
  <si>
    <t>Drošības vārsts , 10bar</t>
  </si>
  <si>
    <t>IEVADA MEZGLS</t>
  </si>
  <si>
    <t>kmpl</t>
  </si>
  <si>
    <t>Lodveida ventilis , Dn50</t>
  </si>
  <si>
    <t>Vienvirziena vārsts, Dn80</t>
  </si>
  <si>
    <t>Vienvirziena vārsts, Dn25</t>
  </si>
  <si>
    <t xml:space="preserve">Piebarošanas līnijas trauks 200L, </t>
  </si>
  <si>
    <t>Manometrs , 10bar</t>
  </si>
  <si>
    <t>Izplēšanas trauks, 200L</t>
  </si>
  <si>
    <t xml:space="preserve">Gruntskrāsa , </t>
  </si>
  <si>
    <t xml:space="preserve">Montāžas palīgmateriāli, </t>
  </si>
  <si>
    <t>Akmensvates siltumizolācija ar foliju b=30mm,
 Dn114x30</t>
  </si>
  <si>
    <t>Akmensvates siltumizolācija ar foliju b=30mm,
Dn87x30</t>
  </si>
  <si>
    <t>Akmensvates siltumizolācija ar foliju b=30mm,
Dn76x30</t>
  </si>
  <si>
    <t>Akmensvates siltumizolācija ar foliju b=30mm,
Dn60x30</t>
  </si>
  <si>
    <t>Stiklavates siltumizolācija ar foliju b=30mm,
Dn42x30</t>
  </si>
  <si>
    <t>Akmensvates siltumizolācija ar foliju b=30mm,
Dn35x30</t>
  </si>
  <si>
    <t xml:space="preserve">Apkures radiators komplektā ar iebūvētu  korķi un montāžas stiprinājumiem "Purmo Compact" C11-400-1000 vai ekvivalents </t>
  </si>
  <si>
    <t xml:space="preserve">Radiatoru termostata galviņa  
ar termostatisko vārstu, </t>
  </si>
  <si>
    <t xml:space="preserve">Apkures kontūrs </t>
  </si>
  <si>
    <t>Karstā ūdens siltummaiņa kontūrs</t>
  </si>
  <si>
    <t xml:space="preserve">Ventilācijas kontūrs </t>
  </si>
  <si>
    <t>Etilēnglikola maisījums , 40%</t>
  </si>
  <si>
    <t xml:space="preserve">Cauruļvadu materiālu montāža </t>
  </si>
  <si>
    <t>Tērauda caurules VS 10704-76* Dn80</t>
  </si>
  <si>
    <t>Tērauda caurules VS 10704-76* Dn65</t>
  </si>
  <si>
    <t>Tērauda caurules VS 10704-76* Dn50</t>
  </si>
  <si>
    <t>Tērauda caurules  VS 3262-75* Dn32</t>
  </si>
  <si>
    <t>Tērauda caurules  VS 3262-75* Dn25</t>
  </si>
  <si>
    <t>Tērauda caurules  VS 3262-75* Dn20</t>
  </si>
  <si>
    <t>Tērauda caurules  VS 3262-75* Dn15</t>
  </si>
  <si>
    <t>Ūdens sadales ķeme , ∅114 L=1,4m</t>
  </si>
  <si>
    <t xml:space="preserve">Bimetāliskais termometrs 0-100°C, </t>
  </si>
  <si>
    <t>Bimetāliskais termometrs 0-100°C,</t>
  </si>
  <si>
    <t>Marķēšanas materiāli</t>
  </si>
  <si>
    <t>Hidrauliska pārbaude</t>
  </si>
  <si>
    <t>100m</t>
  </si>
  <si>
    <t>3.1</t>
  </si>
  <si>
    <t>3.2</t>
  </si>
  <si>
    <t>3.3</t>
  </si>
  <si>
    <t>3.4</t>
  </si>
  <si>
    <t>3.5</t>
  </si>
  <si>
    <t>3.6</t>
  </si>
  <si>
    <t>3.7</t>
  </si>
  <si>
    <t>3.8</t>
  </si>
  <si>
    <t>3.9</t>
  </si>
  <si>
    <t>3.10</t>
  </si>
  <si>
    <t>3.11</t>
  </si>
  <si>
    <t>3.12</t>
  </si>
  <si>
    <t>3.13</t>
  </si>
  <si>
    <t>3.14</t>
  </si>
  <si>
    <t>3.15</t>
  </si>
  <si>
    <t>3.16</t>
  </si>
  <si>
    <t>3.17</t>
  </si>
  <si>
    <t>3.18</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</si>
  <si>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</si>
  <si>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</si>
  <si>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</si>
  <si>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</si>
  <si>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</si>
  <si>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</si>
  <si>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</si>
  <si>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</si>
  <si>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</si>
  <si>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</si>
  <si>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</si>
  <si>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</si>
  <si>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</si>
  <si>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</si>
  <si>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</si>
  <si>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</si>
  <si>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</si>
  <si>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</si>
  <si>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</si>
  <si>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</si>
  <si>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</si>
  <si>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</si>
  <si>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</si>
  <si>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</si>
  <si>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</si>
  <si>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5.1</t>
  </si>
  <si>
    <t>5.2</t>
  </si>
  <si>
    <t>5.3</t>
  </si>
  <si>
    <t>5.4</t>
  </si>
  <si>
    <t>5.5</t>
  </si>
  <si>
    <t>5.6</t>
  </si>
  <si>
    <t>5.7</t>
  </si>
  <si>
    <t>5.8</t>
  </si>
  <si>
    <t>5.9</t>
  </si>
  <si>
    <t>5.10</t>
  </si>
  <si>
    <t>5.11</t>
  </si>
  <si>
    <t>5.12</t>
  </si>
  <si>
    <t>5.13</t>
  </si>
  <si>
    <t>5.14</t>
  </si>
  <si>
    <t>5.15</t>
  </si>
  <si>
    <t>5.16</t>
  </si>
  <si>
    <t>BS-3BIS(50) (vai ekvivalents) Gaisa apstrādes agregāts: L(P)=5100 m³/h;H=260 Pa;                              L(N)=5284m³/h;H=280 Pa
Etilenglycoles siltummainis
F9 filtri pieplūdei
F5 filtri nosūcei
Ūdens sildīšanas sekcija - 33.2 kW
Direct-driven motors pieplūdei 
Direct-driven motors nosūcei 
Noslēgvārsti ar elektropedziņu  2 gab.
Mīkstie savienojumi
Frekvenču pārveidotājs  2 gab.
Automātika un spēka sadales 1 kompl.
Kontrolieris, ar displeju 1 kompl.
Pretaizsalšanas automatika 1 kompl.
SUM (B-SRP) 40-2.5 Šunta iekārta  1.kompl.</t>
  </si>
  <si>
    <t>SPS-4(50) (vai ekvivalents) Gaisa apstrādes agregāts    L(P)=3080 m³/h;H=210 Pa                         L(N)=2840m³/h;H=170 Pa
Šķērsplūsmas plakšņu siltummainis
F6 filtri pieplūdei
F5 filtri nosūcei
Ūdens sildīšanas sekcija - 28.6 kW
Direct-driven motors pieplūdei 
Direct-driven motors nosūcei 
Noslēgvārsti ar elektropedziņu  2 gab.
Mīkstie savienojumi
Frekvenču pārveidotājs  2 gab.
Automātika un spēka sadales 1 kompl.
Kontrolieris, ar displeju 1 kompl.
Pretaizsalšanas automatika 1 kompl.
SUM (B-SRP) 40-2.5 Šunta iekārta  1.kompl.</t>
  </si>
  <si>
    <t>SPS-4(50) (vai ekvivalents) Gaisa apstrādes agregāts   L(P)=3360 m³/h;H=220 Pa                             L(N)=3120m³/h;H=170 Pa
Šķērsplūsmas plakšņu siltummainis
F6 filtri pieplūdei
F5 filtri nosūcei
Ūdens sildīšanas sekcija - 28.6 kW
Direct-driven motors pieplūdei 
Direct-driven motors nosūcei 
Noslēgvārsti ar elektropedziņu  2 gab.
Mīkstie savienojumi
Frekvenču pārveidotājs  2 gab.
Automātika un spēka sadales 1 kompl.
Kontrolieris, ar displeju 1 kompl.
Pretaizsalšanas automatika 1 kompl.
SUM (B-SRP) 40-2.5 Šunta iekārta  1.kompl.</t>
  </si>
  <si>
    <t>SPS-4(50) (vai ekvivalents) Gaisa apstrādes agregāts   L(P)=3360 m³/h;H=200 Pa                      L(N)=3120m³/h;H=175 Pa
Šķērsplūsmas plakšņu siltummainis
F6 filtri pieplūdei
F5 filtri nosūcei
Ūdens sildīšanas sekcija - 28.6 kW
Direct-driven motors pieplūdei 
Direct-driven motors nosūcei 
Noslēgvārsti ar elektropedziņu  2 gab.
Mīkstie savienojumi
Frekvenču pārveidotājs  2 gab.
Automātika un spēka sadales 1 kompl.
Kontrolieris, ar displeju 1 kompl.
Pretaizsalšanas automatika 1 kompl.
SUM (B-SRP) 40-2.5 Šunta iekārta  1.kompl.</t>
  </si>
  <si>
    <t>DUPLEX 1100 Multi Eco Ar integrētu ATREA vadību un WEBserveri (ModBus)  (vai ekvivalents)                                                  L(P)=960 m³/h;H=200 Pa                                  L(N)=960m³/h;H=200 Pa
Šķērsplūsmas plakšņu siltummainis
F6 filtri pieplūdei
F5 filtri nosūcei
Ūdens sildīšanas sekcija - 4,4 kW
Direct-driven motors pieplūdei 
Direct-driven motors nosūcei 
Noslēgvārsti ar elektropedziņu  2 gab.
Mīkstie savienojumi
Frekvenču pārveidotājs  2 gab.
Automātika un spēka sadales 1 kompl.
Kontrolieris, ar displeju 1 kompl.
Pretaizsalšanas automatika 1 kompl.
RE-TPO3.LM24A-SR Šunta iekārta  sildītājam   1.kompl.</t>
  </si>
  <si>
    <t>DUPLEX 2500 Multi Eco Ar integrētu ATREA vadību un WEBserveri (ModBus) (vai ekvivalents)                                                   L(P)=1785 m³/h;H=180 Pa                     L(N)=1635m³/h;H=180 Pa
Šķērsplūsmas plakšņu siltummainis
F6 filtri pieplūdei
F5 filtri nosūcei
Ūdens sildīšanas sekcija - 7,4 kW
Direct-driven motors pieplūdei 
Direct-driven motors nosūcei 
Noslēgvārsti ar elektropedziņu  2 gab.
Mīkstie savienojumi
Frekvenču pārveidotājs  2 gab.
Automātika un spēka sadales 1 kompl.
Kontrolieris, ar displeju 1 kompl.
Pretaizsalšanas automatika 1 kompl.
RE-TPO3.LM24A-SR Šunta iekārta  sildītājam   1.kompl.</t>
  </si>
  <si>
    <t>DUPLEX 2500 Multi Eco Ar integrētu ATREA vadību un WEBserveri (ModBus) (vai ekvivalents)                                                   L(P)=2550 m³/h;H=200 Pa                          L(N)=2300m³/h;H=200 Pa
Šķērsplūsmas plakšņu siltummainis
F6 filtri pieplūdei
F5 filtri nosūcei
Ūdens sildīšanas sekcija - 9,3 kW
Direct-driven motors pieplūdei 
Direct-driven motors nosūcei 
Noslēgvārsti ar elektropedziņu  2 gab.
Mīkstie savienojumi
Frekvenču pārveidotājs  2 gab.
Automātika un spēka sadales 1 kompl.
Kontrolieris, ar displeju 1 kompl.
Pretaizsalšanas automatika 1 kompl.
RE-TPO3.LM24A-SR Šunta iekārta  sildītājam   1.kompl.</t>
  </si>
  <si>
    <t>DUPLEX 2500 Multi Eco Ar integrētu ATREA vadību un WEBserveri (ModBus) (vai ekvivalents)                                                   L(P)=2105 m³/h;H=160 Pa                               L(N)=1600m³/h;H=190 Pa
Šķērsplūsmas plakšņu siltummainis
F6 filtri pieplūdei
F5 filtri nosūcei
Ūdens sildīšanas sekcija - 9,9 kW
Direct-driven motors pieplūdei 
Direct-driven motors nosūcei 
Noslēgvārsti ar elektropedziņu  2 gab.
Mīkstie savienojumi
Frekvenču pārveidotājs  2 gab.
Automātika un spēka sadales 1 kompl.
Kontrolieris, ar displeju 1 kompl.
Pretaizsalšanas automatika 1 kompl.
RE-TPO3.LM24A-SR Šunta iekārta  sildītājam   1.kompl.</t>
  </si>
  <si>
    <t>DUPLEX 1500 Multi Eco Ar integrētu ATREA vadību un WEBserveri (ModBus) (vai ekvivalents)                                                   L(P)=1680 m³/h;H=180 Pa                          L(N)=960m³/h;H=200 Pa
Šķērsplūsmas plakšņu siltummainis
F6 filtri pieplūdei
F5 filtri nosūcei
Ūdens sildīšanas sekcija - 6,3 kW
Direct-driven motors pieplūdei 
Direct-driven motors nosūcei 
Noslēgvārsti ar elektropedziņu  2 gab.
Mīkstie savienojumi
Frekvenču pārveidotājs  2 gab.
Automātika un spēka sadales 1 kompl.
Kontrolieris, ar displeju 1 kompl.
Pretaizsalšanas automatika 1 kompl.
RE-TPO3.LM24A-SR Šunta iekārta  sildītājam   1.kompl.</t>
  </si>
  <si>
    <t>DUPLEX 570 EC5.RD Ar integrētu ATREA vadību un WEBserveri (ModBus) (vai ekvivalents):                                                   L(P)=450 m³/h;H=180 Pa                                       L(N)=450m³/h;H=180 Pa
Šķērsplūsmas plakšņu siltummainis
F6 filtri pieplūdei
F5 filtri nosūcei
Elektriska sildīšanas sekcija - 2,1 kW
Direct-driven motors pieplūdei 
Direct-driven motors nosūcei 
Noslēgvārsti ar elektropedziņu  2 gab.
Mīkstie savienojumi
Frekvenču pārveidotājs  2 gab.
Automātika un spēka sadales 1 kompl.
Kontrolieris, ar displeju 1 kompl.
Pretaizsalšanas automatika 1 kompl.</t>
  </si>
  <si>
    <t>Esošo logu regulēšana</t>
  </si>
  <si>
    <t>Cauruļvadu skalošana un hidrauliskā pārbaude</t>
  </si>
  <si>
    <t>Izpilddokumentācijas sagatavošana</t>
  </si>
  <si>
    <t>Nodošanas-pieņemšanas dokumentācijas noformēšana</t>
  </si>
  <si>
    <t>Eosošā aukstā ūdensvada demontāža un utilizācija (apjomus precizēt daba)</t>
  </si>
  <si>
    <t>Eosošā kanalizācijas vada demontāža un utilizācija (apjomus precizēt daba)</t>
  </si>
  <si>
    <t>Hidrauliskā pārbaude</t>
  </si>
  <si>
    <t>Ugunsdzēsības stenda uzstādīšana (Lāpstas, spaiņi, ķekši, putu aparāti komplektā)</t>
  </si>
  <si>
    <t>Būvmateriālu novietne</t>
  </si>
  <si>
    <t>Būvlaukuma nožogojums, inventāra  žogs "BEKAERT" vai ekvivalents</t>
  </si>
  <si>
    <t>mēn.</t>
  </si>
  <si>
    <t>Sarga telpas konteiners</t>
  </si>
  <si>
    <t>Apsardzes izmaksas (12mēn.)</t>
  </si>
  <si>
    <t>Drošības zīmju uzstādīšana</t>
  </si>
  <si>
    <t>Pagaidu ūdensvada pieslēgums (ar uzskaites mezglu ierīkošanu)</t>
  </si>
  <si>
    <t>ūdens patēriņa izmaksas</t>
  </si>
  <si>
    <t>Būvtāfeles izgatavošana un uzstādīšana</t>
  </si>
  <si>
    <t>Konteinera būvgružiem uzstādīšana un izvešana (25m3)</t>
  </si>
  <si>
    <t>Administrācijas vagoniņš (1 gb.)</t>
  </si>
  <si>
    <t>Pārvietojamās WC, mobilās Bio-tualetas, standarta tipa uzstādīšana (1 gb.)</t>
  </si>
  <si>
    <t>Instrumentu un iekārtu konteiners  (1 gb.)</t>
  </si>
  <si>
    <t>Strādnieku sadzīves vagoniņi (1 gb.)</t>
  </si>
  <si>
    <t>N.
p.k.</t>
  </si>
  <si>
    <t>Sagatavošanas darbi, būvlaukuma uzturēšana.</t>
  </si>
  <si>
    <t>Iekšēja kanalizācijas  sistēma.</t>
  </si>
  <si>
    <t>Ventilācija.</t>
  </si>
  <si>
    <t>Apkure.</t>
  </si>
  <si>
    <t>Siltummezgls.</t>
  </si>
  <si>
    <t>Cokola stāvs  (skat. BK-6)</t>
  </si>
  <si>
    <t>Bultskrūve M20,kl.8.7, l=400mm</t>
  </si>
  <si>
    <t>Metāla aiļu pārsedžu montāža: PR-4-C - 3gb., t.sk.:</t>
  </si>
  <si>
    <t>UPE 140, l=1300mm</t>
  </si>
  <si>
    <t>-40x4, l=500mm</t>
  </si>
  <si>
    <t>Bultskrūve M16,kl.8.8, l=500mm</t>
  </si>
  <si>
    <t>Metāla aiļu pārsedžu montāža: PR-5-C - 2gb., t.sk.:</t>
  </si>
  <si>
    <t>UPE 140, l=1100mm</t>
  </si>
  <si>
    <t>Bultskrūve M16,kl.8.8,l=500mm</t>
  </si>
  <si>
    <t>Metāla aiļu pārsedžu montāža: PR-6-C - 3gb., t.sk.:</t>
  </si>
  <si>
    <t>UPE 140, l=1000mm</t>
  </si>
  <si>
    <t>Bultskrūve M16,kl.8.8,l=400mm</t>
  </si>
  <si>
    <t>1. stāvs (skat. BK-7)</t>
  </si>
  <si>
    <t>Bultskrūve M20,kl.8.8,l=400mm</t>
  </si>
  <si>
    <t>Bultskrūve M20,kl.8.8,l=600mm</t>
  </si>
  <si>
    <t>Metāla aiļu pārsedžu montāža: PR-7-1 - 3gb., t.sk.:</t>
  </si>
  <si>
    <t>Metāla aiļu pārsedžu montāža: PR-8-1 - 1gb., t.sk.:</t>
  </si>
  <si>
    <t>UPE 140, l=1200mm</t>
  </si>
  <si>
    <t>Metāla aiļu pārsedžu montāža: PR-9-1 - 3gb., t.sk.:</t>
  </si>
  <si>
    <t>UPE 140, l=1400mm</t>
  </si>
  <si>
    <t>Metāla aiļu pārsedžu montāža: PR-10-1 - 1gb., t.sk.:</t>
  </si>
  <si>
    <t>UPE 160, l=1200mm</t>
  </si>
  <si>
    <t>2. stāvs (skat. BK-8)</t>
  </si>
  <si>
    <t>Metāla aiļu pārsedžu montāža: PR-1-2 - 1gb., t.sk.:</t>
  </si>
  <si>
    <t>Metāla aiļu pārsedžu montāža: PR-2-2 - 2gb., t.sk.:</t>
  </si>
  <si>
    <t>Metāla aiļu pārsedžu montāža: PR-3-2 - 1gb., t.sk.:</t>
  </si>
  <si>
    <t>Metāla aiļu pārsedžu montāža: PR-4-2 - 1gb., t.sk.:</t>
  </si>
  <si>
    <t>3. stāvs (skat. BK-9)</t>
  </si>
  <si>
    <t>Metāla aiļu pārsedžu montāža: PR-4-3 - 1gb., t.sk.:</t>
  </si>
  <si>
    <t>Metāla aiļu pārsedžu montāža: PR-5-3 - 1gb., t.sk.:</t>
  </si>
  <si>
    <t>Metāla aiļu pārsedžu montāža: PR-6-3 - 1gb., t.sk.:</t>
  </si>
  <si>
    <t>4. stāvs (skat. BK-10)</t>
  </si>
  <si>
    <t>Metāla aiļu pārsedžu montāža: PR-1-4 - 1gb., t.sk.:</t>
  </si>
  <si>
    <t>UPE 200, l=1950mm</t>
  </si>
  <si>
    <t>Metāla aiļu pārsedžu montāža: PR-2-4 - 1gb., t.sk.:</t>
  </si>
  <si>
    <t>UPE 160, l=1600mm</t>
  </si>
  <si>
    <t>Bultskrūve M16, l=500mm</t>
  </si>
  <si>
    <t>Metāla konstrukciju izgatavošana un montāža, t.sk.:</t>
  </si>
  <si>
    <t>-250x200x10, 80gb.</t>
  </si>
  <si>
    <t>Metāla rāmis izgatavošana un montāža, t.sk.:</t>
  </si>
  <si>
    <t xml:space="preserve"> IPE 12, Lk=105m</t>
  </si>
  <si>
    <t>∟100x100x10, Lk=53,0m</t>
  </si>
  <si>
    <t>Jumtiņa skat. BK-12</t>
  </si>
  <si>
    <t>Impregnēta  koka latojums un koka karkasa brusu ierīkošana, t.sk. enkurbultas 4M12x350 sol.1000mm. Koka konstrukciju pretuguns aizsardzību veikt saskaņā ar LBN 201-15 "Ugunsdrošības normas" un LVS EN 338.  Aizsardzību veikt ar ugunsaizsardzības līdzekļiem, kas nodrošina vismaz B-s1, d2 ugunsreakcijas klasi.  (ieskaitot visus nepieciešamos materiālus, montāža saskaņā ar tehnoloģiju)</t>
  </si>
  <si>
    <t>Lifta šahta skat. BK-11</t>
  </si>
  <si>
    <t>Ķieģeļu mūra demontāža el.nišu ierīkošanai un utilizācija</t>
  </si>
  <si>
    <t>Linoleja seguma noņemšana un utilizācija</t>
  </si>
  <si>
    <t>Cementa un betona grīdu nojaukšana un utilizācija</t>
  </si>
  <si>
    <t xml:space="preserve">El.kārbas apšūšana ar reģipsi </t>
  </si>
  <si>
    <t>Elektroapgāde.</t>
  </si>
  <si>
    <t>Demontāžu darbi</t>
  </si>
  <si>
    <t>Sadalnes demontāža</t>
  </si>
  <si>
    <t>Gaismekļu demontāža</t>
  </si>
  <si>
    <t>Slēdžu demontāža</t>
  </si>
  <si>
    <t>Kontaktligzdas demontāža</t>
  </si>
  <si>
    <t>Savienojuma kārbas demontāža</t>
  </si>
  <si>
    <t>Neparedzēta demontāža</t>
  </si>
  <si>
    <t>Iekšējā elektroapgāde</t>
  </si>
  <si>
    <t>Sadalnes:</t>
  </si>
  <si>
    <t>1.1.</t>
  </si>
  <si>
    <t>Sadalne IUS-1, ISP-16A</t>
  </si>
  <si>
    <t>1.2.</t>
  </si>
  <si>
    <t>Sadalne IUS-2, IUS-1/125</t>
  </si>
  <si>
    <t>1.3.</t>
  </si>
  <si>
    <t>Statne sadalnes uzstādīšanai atklātā vietā, ST</t>
  </si>
  <si>
    <t>1.4.</t>
  </si>
  <si>
    <t>Kronšteins sadalnes uzstādīšanai 
pie sienas, KS-1, 2gb.</t>
  </si>
  <si>
    <t>1.5.</t>
  </si>
  <si>
    <t>Stiprinājuma elementi elementiem.</t>
  </si>
  <si>
    <t>1.6.</t>
  </si>
  <si>
    <t>Sadalne GS-1</t>
  </si>
  <si>
    <t>1.7.</t>
  </si>
  <si>
    <t>Sadalne GS-2</t>
  </si>
  <si>
    <t>1.8.</t>
  </si>
  <si>
    <t>Sadalne GS-3</t>
  </si>
  <si>
    <t>1.9.</t>
  </si>
  <si>
    <t>Sadalne SS0-1</t>
  </si>
  <si>
    <t>1.10.</t>
  </si>
  <si>
    <t>Sadalne SS0-2</t>
  </si>
  <si>
    <t>1.11.</t>
  </si>
  <si>
    <t>Sadalne SS0-3</t>
  </si>
  <si>
    <t>1.12.</t>
  </si>
  <si>
    <t>Sadalne SS0-4</t>
  </si>
  <si>
    <t>1.13.</t>
  </si>
  <si>
    <t>Sadalne SS0-5</t>
  </si>
  <si>
    <t>1.14.</t>
  </si>
  <si>
    <t>Sadalne SS0-6</t>
  </si>
  <si>
    <t>1.15.</t>
  </si>
  <si>
    <t>Sadalne SS0-7</t>
  </si>
  <si>
    <t>1.16.</t>
  </si>
  <si>
    <t>Sadalne SS1-1</t>
  </si>
  <si>
    <t>1.17.</t>
  </si>
  <si>
    <t>Sadalne SS1-2</t>
  </si>
  <si>
    <t>1.18.</t>
  </si>
  <si>
    <t>Sadalne SS1-3</t>
  </si>
  <si>
    <t>1.19.</t>
  </si>
  <si>
    <t>Sadalne SS1-4</t>
  </si>
  <si>
    <t>1.20.</t>
  </si>
  <si>
    <t>Sadalne SS1-5</t>
  </si>
  <si>
    <t>1.21.</t>
  </si>
  <si>
    <t>Sadalne SS2-1</t>
  </si>
  <si>
    <t>1.22.</t>
  </si>
  <si>
    <t>Sadalne SS2-2</t>
  </si>
  <si>
    <t>1.23.</t>
  </si>
  <si>
    <t>Sadalne SS2-3</t>
  </si>
  <si>
    <t>1.24.</t>
  </si>
  <si>
    <t>Sadalne SS2-4</t>
  </si>
  <si>
    <t>1.25.</t>
  </si>
  <si>
    <t>Sadalne SS2-5</t>
  </si>
  <si>
    <t>1.26.</t>
  </si>
  <si>
    <t>Sadalne SS3-1</t>
  </si>
  <si>
    <t>1.27.</t>
  </si>
  <si>
    <t>Sadalne SS3-2</t>
  </si>
  <si>
    <t>1.28.</t>
  </si>
  <si>
    <t>Sadalne SS3-3</t>
  </si>
  <si>
    <t>1.29.</t>
  </si>
  <si>
    <t>Sadalne SS3-4</t>
  </si>
  <si>
    <t>1.30.</t>
  </si>
  <si>
    <t>Sadalne SS3-5</t>
  </si>
  <si>
    <t>1.31.</t>
  </si>
  <si>
    <t>Sadalne SS4-1</t>
  </si>
  <si>
    <t>1.32.</t>
  </si>
  <si>
    <t>Sadalne SS4-2</t>
  </si>
  <si>
    <t>1.33.</t>
  </si>
  <si>
    <t>Sadalne SSS</t>
  </si>
  <si>
    <t>1.34.</t>
  </si>
  <si>
    <t>Sadalne VS0-1</t>
  </si>
  <si>
    <t>1.35.</t>
  </si>
  <si>
    <t>Sadalne VS0-2</t>
  </si>
  <si>
    <t>1.36.</t>
  </si>
  <si>
    <t>Sadalne VS1-1</t>
  </si>
  <si>
    <t>1.37.</t>
  </si>
  <si>
    <t>Sadalne VS1-2</t>
  </si>
  <si>
    <t>1.38.</t>
  </si>
  <si>
    <t>Sadalne VS2-1</t>
  </si>
  <si>
    <t>1.39.</t>
  </si>
  <si>
    <t>Sadalne VS3-1</t>
  </si>
  <si>
    <t>2.</t>
  </si>
  <si>
    <t>Apgaismes ierīces: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</si>
  <si>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</si>
  <si>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</si>
  <si>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</si>
  <si>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</si>
  <si>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</si>
  <si>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</si>
  <si>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</si>
  <si>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</si>
  <si>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</si>
  <si>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</si>
  <si>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</si>
  <si>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</si>
  <si>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</si>
  <si>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</si>
  <si>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</si>
  <si>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</si>
  <si>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</si>
  <si>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</si>
  <si>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</si>
  <si>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</si>
  <si>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</si>
  <si>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</si>
  <si>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</si>
  <si>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</si>
  <si>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</si>
  <si>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</si>
  <si>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</si>
  <si>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</si>
  <si>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</si>
  <si>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</si>
  <si>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</si>
  <si>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</si>
  <si>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</si>
  <si>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</si>
  <si>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3.</t>
  </si>
  <si>
    <t>Sienas kontaktligzdas, slēdži un kārbas:</t>
  </si>
  <si>
    <t>3.1.</t>
  </si>
  <si>
    <t>Kontaktligzda 3F, 1v.,z.a.,IP44, 16A;400V</t>
  </si>
  <si>
    <t>3.2.</t>
  </si>
  <si>
    <t>Kontaktligzda 1F, 1v.,v.a.,IP20, 16A;230V</t>
  </si>
  <si>
    <t>3.3.</t>
  </si>
  <si>
    <t>Kontaktligzda 1F, 1v.,z.a.,IP44, 16A;230V</t>
  </si>
  <si>
    <t>3.4.</t>
  </si>
  <si>
    <t>Kontaktligzda 1F, 1v.,z.a.,IP20, 16A;230V</t>
  </si>
  <si>
    <t>3.5.</t>
  </si>
  <si>
    <t>Kontaktligzda 1F, 2v.,z.a.,IP44, 16A;230V</t>
  </si>
  <si>
    <t>3.6.</t>
  </si>
  <si>
    <t>Kontaktligzda 1F, 2v.,z.a.,ar bērnu aizsardzību,IP44, 16A;230V</t>
  </si>
  <si>
    <t>3.7.</t>
  </si>
  <si>
    <t>Kontaktligzda 1F, 2v.,z.a.,IP20, 16A;230V</t>
  </si>
  <si>
    <t>3.8.</t>
  </si>
  <si>
    <t>Kontaktligzda 1F, 2v.,z.a.,ar bērnu aizsardzību,IP20, 16A;230V</t>
  </si>
  <si>
    <t>3.9.</t>
  </si>
  <si>
    <t>Kontaktligzda 1F, 3v.,z.a.,IP44, 16A;230V</t>
  </si>
  <si>
    <t>3.10.</t>
  </si>
  <si>
    <t>Kontaktligzda 1F, 4v.,z.a.,IP20, 16A;230V</t>
  </si>
  <si>
    <t>3.11.</t>
  </si>
  <si>
    <t>Kontaktligzda 1F, 5v.,z.a.,IP20, 16A;230V</t>
  </si>
  <si>
    <t>3.12.</t>
  </si>
  <si>
    <t>Kontaktligzda 1F, 5v.,z.a.,ar bērnu aizsardzību,IP44, 16A;230V</t>
  </si>
  <si>
    <t>3.13.</t>
  </si>
  <si>
    <t>Kontaktligzda 1F, 6v.,z.a.,IP20, 16A;230V</t>
  </si>
  <si>
    <t>3.14.</t>
  </si>
  <si>
    <t>Kontaktligzdu bloks 1F/1v.x10A,v.a.,IP20 ar p.n.III kl., 10A;230V</t>
  </si>
  <si>
    <t>3.15.</t>
  </si>
  <si>
    <t>Datoru kontaktligzdu bloks 1F/4v.x10A,z.a.,IP20 ar p.n.III kl., 10A;230V</t>
  </si>
  <si>
    <t>3.16.</t>
  </si>
  <si>
    <t>Datoru kontaktligzdu bloks 1F/6v.x10A,z.a.,IP20 ar p.n.III kl., 10A;230V</t>
  </si>
  <si>
    <t>3.17.</t>
  </si>
  <si>
    <t>Slēdzis vienpolīgs, z.a., IP44, 10A;230V</t>
  </si>
  <si>
    <t>3.18.</t>
  </si>
  <si>
    <t>Slēdzis vienpolīgs, z.a., IP20, 10A;230V</t>
  </si>
  <si>
    <t>3.19.</t>
  </si>
  <si>
    <t>Slēdzis dīvpolīgs, z.a., IP44, 10A;230V</t>
  </si>
  <si>
    <t>3.20.</t>
  </si>
  <si>
    <t>Slēdzis dīvpolīgs, z.a., IP20, 10A;230V</t>
  </si>
  <si>
    <t>3.21.</t>
  </si>
  <si>
    <t>Slēdzis trīspolīgs, z.a., IP44, 10A;230V</t>
  </si>
  <si>
    <t>3.22.</t>
  </si>
  <si>
    <t>Slēdzis trīspolīgs, z.a., IP20, 10A;230V</t>
  </si>
  <si>
    <t>3.23.</t>
  </si>
  <si>
    <t>Parslēdzis vienpolīgs, z.a., IP20, 10A;230V</t>
  </si>
  <si>
    <t>3.24.</t>
  </si>
  <si>
    <t>Parslēdzis vienpolīgs, z.a., IP44, 10A;230V</t>
  </si>
  <si>
    <t>3.25.</t>
  </si>
  <si>
    <t>Krusta slēdzis zemapmetruma montāžas IP20, 10A;230V</t>
  </si>
  <si>
    <t>3.26.</t>
  </si>
  <si>
    <t>3.27.</t>
  </si>
  <si>
    <t>Vadības poga, z.a., IP20, 10A;230V</t>
  </si>
  <si>
    <t>3.28.</t>
  </si>
  <si>
    <t>Kontaktligzdu statīvs INSTAL SP45-1FPE M</t>
  </si>
  <si>
    <t>3.29.</t>
  </si>
  <si>
    <t>Savienojuma kārba z.a., IP44, 10A;230V</t>
  </si>
  <si>
    <t>3.30.</t>
  </si>
  <si>
    <t>Savienojuma kārba v.a., IP20, 10A;230V</t>
  </si>
  <si>
    <t>4.</t>
  </si>
  <si>
    <t>Kabeļu izstrādājumi:</t>
  </si>
  <si>
    <t>Kabelis ar alumīnija dzīslām 1,0/0,6kV</t>
  </si>
  <si>
    <t>4.1.</t>
  </si>
  <si>
    <t>AXPK 4x150mm2</t>
  </si>
  <si>
    <t>4.2.</t>
  </si>
  <si>
    <t>AXPK 4x70mm2</t>
  </si>
  <si>
    <t>Kabelis ar vara dzīslām 1,0/0,6kV</t>
  </si>
  <si>
    <t>4.3.</t>
  </si>
  <si>
    <t>NYY-J 4x120mm2</t>
  </si>
  <si>
    <t>4.4.</t>
  </si>
  <si>
    <t>NYY-J 4x70mm2</t>
  </si>
  <si>
    <t>4.5.</t>
  </si>
  <si>
    <t>NYY-J 1x70mm2</t>
  </si>
  <si>
    <t>4.6.</t>
  </si>
  <si>
    <t>NYY-J 1x35mm2</t>
  </si>
  <si>
    <t>4.7.</t>
  </si>
  <si>
    <t>NYY-J 5x50mm2</t>
  </si>
  <si>
    <t>4.8.</t>
  </si>
  <si>
    <t>PPJ 5x25mm2</t>
  </si>
  <si>
    <t>4.9.</t>
  </si>
  <si>
    <t>NYY-J 5x16mm2</t>
  </si>
  <si>
    <t>4.10.</t>
  </si>
  <si>
    <t>NYY-J 5x10mm2</t>
  </si>
  <si>
    <t>4.11.</t>
  </si>
  <si>
    <t>NYY-J 1x16mm2</t>
  </si>
  <si>
    <t>4.12.</t>
  </si>
  <si>
    <t>PPJ 5x6mm2</t>
  </si>
  <si>
    <t>4.13.</t>
  </si>
  <si>
    <t>PPJ 5x4mm2</t>
  </si>
  <si>
    <t>4.14.</t>
  </si>
  <si>
    <t>PPJ 5x2,5mm2</t>
  </si>
  <si>
    <t>4.15.</t>
  </si>
  <si>
    <t>PPJ 3x2,5mm2</t>
  </si>
  <si>
    <t>4.16.</t>
  </si>
  <si>
    <t>PPJ 5x1,5mm2</t>
  </si>
  <si>
    <t>4.17.</t>
  </si>
  <si>
    <t>PPJ 4x1,5mm2</t>
  </si>
  <si>
    <t>4.18.</t>
  </si>
  <si>
    <t>PPJ 3x1,5mm2</t>
  </si>
  <si>
    <t>4.19.</t>
  </si>
  <si>
    <t>N2XCH-FE 180/ E30 3x1,5mm2</t>
  </si>
  <si>
    <t>4.20.</t>
  </si>
  <si>
    <t>5.</t>
  </si>
  <si>
    <t>Kabeļu gala apdares:</t>
  </si>
  <si>
    <t>5.1.</t>
  </si>
  <si>
    <t>1kV gala apdares, kab plastm. Izolācija 
EPKT 0047-L12, 70-150mm2 "Raychem" vai ekvivalents</t>
  </si>
  <si>
    <t>5.2.</t>
  </si>
  <si>
    <t>1kV gala apdares, kab plastm. Izolācija
 EPKT 0031-L12, 25-70mm2 "Raychem" vai ekvivalents</t>
  </si>
  <si>
    <t>5.3.</t>
  </si>
  <si>
    <t>1kV gala apdares, kab plastm. Izolācija
 EPKT 0015, 4-35mm2 "Raychem" vai ekvivalents</t>
  </si>
  <si>
    <t>5.4.</t>
  </si>
  <si>
    <t>Caurulītes ar līmi gala apdarēm kabeļiem ar plastmasas izolāciju spriegumam līdz 1kV, MWTM 25/8-1000/S, 25mm2 "Raychem" vai ekvivalents</t>
  </si>
  <si>
    <t>5.5.</t>
  </si>
  <si>
    <t>Caurulītes ar līmi gala apdarēm kabeļiem ar plastmasas izolāciju spriegumam līdz 1kV, MWTM 16/5-1000/S, 16mm2 "Raychem" vai ekvivalents</t>
  </si>
  <si>
    <t>5.6.</t>
  </si>
  <si>
    <t>Caurulītes ar līmi gala apdarēm kabeļiem ar plastmasas izolāciju spriegumam līdz 1kV, MWTM 10/3-1000/S, 6-10mm2 "Raychem" vai ekvivalents</t>
  </si>
  <si>
    <t>5.7.</t>
  </si>
  <si>
    <t>Uzgalis M-12 skrūvēm</t>
  </si>
  <si>
    <t>5.8.</t>
  </si>
  <si>
    <t>Hermetizācijas lenta</t>
  </si>
  <si>
    <t>6.</t>
  </si>
  <si>
    <t>Caurules un pārējie materiāli:</t>
  </si>
  <si>
    <t>6.1.</t>
  </si>
  <si>
    <t>Kabeļu trepes KS20-200, "MEKA PRO"
 vai ekvivalents</t>
  </si>
  <si>
    <t>Kabeļu trepes KS20-300, "MEKA PRO"
 vai ekvivalents</t>
  </si>
  <si>
    <t>6.2.</t>
  </si>
  <si>
    <t>Kabeļu trepes KS20-500, "MEKA PRO"
 vai ekvivalents</t>
  </si>
  <si>
    <t>6.3.</t>
  </si>
  <si>
    <t>Savienojums SSR/KS20, "MEKA PRO"
 vai ekvivalents</t>
  </si>
  <si>
    <t>6.4.</t>
  </si>
  <si>
    <t>Sienas kronšteins, VK-300 2kN "MEKA PRO"
 vai ekvivalents</t>
  </si>
  <si>
    <t>6.5.</t>
  </si>
  <si>
    <t>Sienas kronšteins, VK-500 2kN "MEKA PRO"
 vai ekvivalents</t>
  </si>
  <si>
    <t>6.6.</t>
  </si>
  <si>
    <t>Sienas skava, VK 2/KS20 "MEKA PRO"
 vai ekvivalents</t>
  </si>
  <si>
    <t>6.7.</t>
  </si>
  <si>
    <t>Gala stiprinājums, AF "MEKA PRO"
 vai ekvivalents</t>
  </si>
  <si>
    <t>7.</t>
  </si>
  <si>
    <t>Zibensaizsardzība un zemējums:</t>
  </si>
  <si>
    <t>7.1.</t>
  </si>
  <si>
    <t>Potenciāla izlidzināšanas kopne PVC apvalkā</t>
  </si>
  <si>
    <t>7.2.</t>
  </si>
  <si>
    <t>Savienotājklemme ∅8-10/ 30mm</t>
  </si>
  <si>
    <t>7.3.</t>
  </si>
  <si>
    <t>Pretkorozijas lenta 50mm</t>
  </si>
  <si>
    <t>rull.</t>
  </si>
  <si>
    <t>8.</t>
  </si>
  <si>
    <t>8.1.</t>
  </si>
  <si>
    <t>PVC kabeļu kanāls 110x70mm</t>
  </si>
  <si>
    <t>8.2.</t>
  </si>
  <si>
    <t>Plastmasas caurule D=110 mm</t>
  </si>
  <si>
    <t>8.3.</t>
  </si>
  <si>
    <t>Plastmasas caurule D=63 mm</t>
  </si>
  <si>
    <t>8.4.</t>
  </si>
  <si>
    <t>Plastmasas caurule D=50 mm</t>
  </si>
  <si>
    <t>8.5.</t>
  </si>
  <si>
    <t>Plastmasas caurule D=32 mm</t>
  </si>
  <si>
    <t>8.6.</t>
  </si>
  <si>
    <t>Plastmasas caurule D=25 mm</t>
  </si>
  <si>
    <t>8.7.</t>
  </si>
  <si>
    <t>Plastmasas caurule D=20 mm</t>
  </si>
  <si>
    <t>8.8.</t>
  </si>
  <si>
    <t>Pārējie metāla izstrādājumi</t>
  </si>
  <si>
    <t>8.9.</t>
  </si>
  <si>
    <t>Neparedzētie materiāli</t>
  </si>
  <si>
    <t>Melnā tērauda ūdensvada caurule Dn100, montāža</t>
  </si>
  <si>
    <t>PVC caurule Dn160 ūdensvada ievada aizsardzībai, izbūvējama zem ēkas pamatiem</t>
  </si>
  <si>
    <t>Cauruļvada stiprinājumi (stiprinājumi ik pēc ~0,7 m), montāža</t>
  </si>
  <si>
    <t>Lodveida krāna d.15, montāža</t>
  </si>
  <si>
    <t>Lodveida  krāna d.20, montāža</t>
  </si>
  <si>
    <t>Lodveida krāna d.25, montāža</t>
  </si>
  <si>
    <t>Lodveida  krāna d.32, montāža</t>
  </si>
  <si>
    <t>Lodveida  krāna d.50, montāža</t>
  </si>
  <si>
    <t>1.18</t>
  </si>
  <si>
    <t>Lodveida krāna d.20 sistēmas iztukšošanai, montāža</t>
  </si>
  <si>
    <t>1.19</t>
  </si>
  <si>
    <t>1.20</t>
  </si>
  <si>
    <t>1.21</t>
  </si>
  <si>
    <t>Ūdens mērītājs Dn40 mm „Zenner” MTK-N (vai ekvivalents), komplektā ar 2 lodveida ventiļiem Dn40, apvadlīnija, savienojumi, veidgabali u.c., montāža (atbilstoši rasējumam ŪK-2)</t>
  </si>
  <si>
    <t>1.22</t>
  </si>
  <si>
    <t>Ūdens mērītājs Dn20 mm, komplektā ar 2 lodveida ventiļiem Dn20, apvadlīnija, savienojumi, veidgabali u.c., montāža</t>
  </si>
  <si>
    <t>Lodveida krāna d.20, montāža</t>
  </si>
  <si>
    <t>Lodveida krāna d.32, montāža</t>
  </si>
  <si>
    <t>Ūdens mērītājs Dn15 mm, komplektā ar 2 lodveida ventiļiem Dn20, apvadlīnija, savienojumi, veidgabali u.c., montāža</t>
  </si>
  <si>
    <t>Vienvirzienā vārsts DN20, montāža</t>
  </si>
  <si>
    <t>Atgaisošanas varsts, montāža</t>
  </si>
  <si>
    <t>Elekoaizbīdnis ar elektrisko piedziņu (Butterfly Ebro Armaturen vai ekvivalents, Dn100), barojas no autonomas elektroapgādes, montāža (atbilstoši rasējumam ŪK-2)</t>
  </si>
  <si>
    <t>PVC iekšējās kanalizācijas caurule Dn50 ar nepieciešamām fasondaļām, montāža</t>
  </si>
  <si>
    <t>PVC iekšējās kanalizācijas caurule Dn75 ar nepieciešamām fasondaļām, montāža</t>
  </si>
  <si>
    <t>PVC iekšējās kanalizācijas caurule Dn110 ar nepieciešamām fasondaļām, montāža</t>
  </si>
  <si>
    <t>Lokāla smilšu ķērāja Q~0,1l/s, montāža</t>
  </si>
  <si>
    <t>Esošās santehnikas demontāža un utilizācija (Būvnieks nepieciešamo darba apjomus precize objekta apsekošanas laikā)</t>
  </si>
  <si>
    <t>PP plastmasas pašteces kanalizācijas caurules ar uzmavu un blīvi, Ø110mm, SN8  montāža</t>
  </si>
  <si>
    <t>Aizsargčaulas dz/b akas sienā, kas paredzēta Ø110 caurulei montāža</t>
  </si>
  <si>
    <t>Esošās akas D1000 izsūknēšana un iztīrīšana</t>
  </si>
  <si>
    <t>Esošā betona bruģa seguma demontāža un utilizācija</t>
  </si>
  <si>
    <r>
      <t>m</t>
    </r>
    <r>
      <rPr>
        <vertAlign val="superscript"/>
        <sz val="11"/>
        <rFont val="Arial"/>
        <family val="2"/>
      </rPr>
      <t>2</t>
    </r>
  </si>
  <si>
    <t>Esošā betona bruģa seguma atjaunošana</t>
  </si>
  <si>
    <t>Tranšeju rakšana, ietverot grunts pagaidu uzglabāšanu un ar to saistītie darbi</t>
  </si>
  <si>
    <r>
      <t>m</t>
    </r>
    <r>
      <rPr>
        <vertAlign val="superscript"/>
        <sz val="11"/>
        <rFont val="Arial"/>
        <family val="2"/>
      </rPr>
      <t>3</t>
    </r>
  </si>
  <si>
    <t>Smilts (drenējoša - Kf &gt; 1 m/dnn) pamatnes ierīkošana zem cauruļvadiem, skatakām un apbēruma veidošana virs cauruļvadiem, ietverot noblīvēšanu pa kārtām</t>
  </si>
  <si>
    <t xml:space="preserve">Liekās izraktās grunts transportēšana uz atbērtni (atbērtni nodrošina izpildītājs) </t>
  </si>
  <si>
    <t>Tranšeju aizbēršana ar esošo smilšu grunti, kā arī noblīvēšana pa slāņiem un ar to saistītie darbi</t>
  </si>
  <si>
    <t>Esošās akas Ø1000 demontāža</t>
  </si>
  <si>
    <t>Vairogu tranšeju sienu nostiprināšanai montāža</t>
  </si>
  <si>
    <t>Cauruļvadu CCTV inspekcija</t>
  </si>
  <si>
    <t>Esošo cauruļvadu d.100 demontāža</t>
  </si>
  <si>
    <t>Esošo cauruļvadu d.200 demontāža</t>
  </si>
  <si>
    <t>Esošās kanalizācijas akas demontāža</t>
  </si>
  <si>
    <t>Citi neuzskaitītie darbi</t>
  </si>
  <si>
    <t>Slodzes atslēdzējs 4P,40A,400V</t>
  </si>
  <si>
    <t>Kabeļu konstrukcijas:</t>
  </si>
  <si>
    <t>Sienu virsmu apdare ar keramikas flīzēm sienai aiz izlietnes, iekļaujot visus nepieciešamos materiālus (flīzes, grunts, ūdensizturīgu flīžu līme  un hidroizolējošo šuvju aizpildītāju). skat. specifikāsijas</t>
  </si>
  <si>
    <t xml:space="preserve">Grīdu segums no neslīdošā akmens masas flīzēm,1. šķira, pretslīde R≥10 A+B,  R≥9 ūdens uzsūkšana 0.05%. </t>
  </si>
  <si>
    <t xml:space="preserve">akmens masas flīzes </t>
  </si>
  <si>
    <t>Tīkla karte, NET-3000</t>
  </si>
  <si>
    <t>Tīkla karte, LON-3000</t>
  </si>
  <si>
    <t>Ugunsdrošas montāžasblīv blīvējums HILTI CFS-F FX</t>
  </si>
  <si>
    <t>UPE 160, l=2550mm</t>
  </si>
  <si>
    <t>60.1</t>
  </si>
  <si>
    <t>Cieta akmens vate b=50mm</t>
  </si>
  <si>
    <t>Virtuves nosūce ar filtru (stiprinajums pie siena) GNPA,  1800x1000x450</t>
  </si>
  <si>
    <t>Virtuves nosūce ar filtru (stiprinajums pie siena) GNPA, 1000x1000x450</t>
  </si>
  <si>
    <t>Ugunsdrošības vārsts SKP-01-125</t>
  </si>
  <si>
    <t>Gaisa vadu izolācija b=50mm , MAT 35 ALC ar aluminijas čaulu</t>
  </si>
  <si>
    <t xml:space="preserve">Montāžas palīgmateriāli(blīvejums,
stiprinājums), </t>
  </si>
  <si>
    <t xml:space="preserve">Ventilacijas sistemu sakumregulešanas 
darbi, </t>
  </si>
  <si>
    <t>Gaisa vadu izolācija b=50mm, 
MAT 35 ALC</t>
  </si>
  <si>
    <t>Gaisa iznešanas reste, Ø100</t>
  </si>
  <si>
    <t xml:space="preserve">Kanala ventilators K125  L(N)=150m³/h; H=80Pa, Nel.= 24W; Automātikas un spēka sadales daļa
komplektā ir ierēķināti: 
-spēka sadales skapis,
-kontaktori, automāti u.c.        </t>
  </si>
  <si>
    <t>Gaisa iznešanas  reste, Ø125</t>
  </si>
  <si>
    <t>Lodveida ventilis, DN 20 STAD vai ekvivalents</t>
  </si>
  <si>
    <t>Lodveida ventilis, DN 25 STAD vai ekvivalents</t>
  </si>
  <si>
    <t>Lodveida ventilis, DN 32 STAD vai ekvivalents</t>
  </si>
  <si>
    <t>Lodveida ventilis, DN 40 STAD vai ekvivalents</t>
  </si>
  <si>
    <t>Balansējošs vārsts, DN 20 STAD vai ekvivalents</t>
  </si>
  <si>
    <t>Balansējošs vārsts, DN 25 STAD vai ekvivalents</t>
  </si>
  <si>
    <t>Balansējošs vārsts, DN 32 STAD vai ekvivalents</t>
  </si>
  <si>
    <t>Balansējošs vārsts, DN 40 STAD vai ekvivalents</t>
  </si>
  <si>
    <t xml:space="preserve">VSH tērauda caurules fasondetāļas 
un stiprinājumi, </t>
  </si>
  <si>
    <t>Spiediena krituma regulators, 
DA616, Dn32, kvs15</t>
  </si>
  <si>
    <t>Apkures regulators, ECL 310, 
"Danfoss" vai ekvivalents</t>
  </si>
  <si>
    <t>Programkarte, A376, "Danfoss" vai ekvivalents</t>
  </si>
  <si>
    <t>Temperatūras sensors, ESMT, 
"Danfoss" vai ekvivalents</t>
  </si>
  <si>
    <t>Temperatūras sensors, ESM-11, 
"Danfoss" vai ekvivalents</t>
  </si>
  <si>
    <t>Divgaitas vārsts, VRG2,Dn25,Kvs10, 
"Danfoss" vai ekvivalents</t>
  </si>
  <si>
    <t>Motorvārsta elektropiedziņa , AMV435, 
"Danfoss" vai ekvivalents</t>
  </si>
  <si>
    <t>Apkures kontūra cirkulācijas sūknis 
Stratos 50/1-9 PN6 vai ekvivalents</t>
  </si>
  <si>
    <t>Tērauda ventilis metināmais, Dn80 Naval 
vai ekvivalents</t>
  </si>
  <si>
    <t>Tērauda ventilis metināmais, Dn50  Naval 
vai ekvivalents</t>
  </si>
  <si>
    <t>Ūdens skaitītājs 1,5m3/h, 90°C</t>
  </si>
  <si>
    <t>Tērauda cauruļu un to fasondetaļu komplekts</t>
  </si>
  <si>
    <t>Temperatūras sensors, ESMU, "Danfoss" 
vai ekvivalents</t>
  </si>
  <si>
    <t>Plākšņu siltummainis , XB 37M-1-40 ;
 N=114kW, "Danfoss" vai ekvivalents</t>
  </si>
  <si>
    <t>Divgaitas vārsts, VRG2,Dn15,Kvs4, "Danfoss" 
vai ekvivalents</t>
  </si>
  <si>
    <t>Apkures kontūra cirkulācijas sūknis 
TOP-Z 25/10-3 PN10 vai ekvivalents</t>
  </si>
  <si>
    <t>Ūdens skaitītājs Dn32, 1,96m3/h,90°C</t>
  </si>
  <si>
    <t>3.19</t>
  </si>
  <si>
    <t>Temperatūras sensors, ESMT "Danfoss" 
vai ekvivalents</t>
  </si>
  <si>
    <t>Temperatūras sensors, ESM-11 "Danfoss" 
vai ekvivalents</t>
  </si>
  <si>
    <t>Plākšņu siltummainis, XB52M-1-70; N=208kW "Danfoss" vai ekvivalents</t>
  </si>
  <si>
    <t>Divgaitas vārsts, VRG2,Dn20,Kvs6.3 "Danfoss" vai ekvivalents</t>
  </si>
  <si>
    <t>Motorvārsta elektropiedziņa , AMV435 "Danfoss" vai ekvivalents</t>
  </si>
  <si>
    <t>Ventilācijas kontūra cirkulācijas sūknis, 
Stratos 50/1-9 PN 6 vai ekvivalents</t>
  </si>
  <si>
    <t xml:space="preserve">Piebarošanas sūknis, 
JSWm 2CX 0,75kW 230V 50Hz, Pedrollo vai ekvivalents </t>
  </si>
  <si>
    <t>Lodveida ventilis , Dn65</t>
  </si>
  <si>
    <t>Balansējošais vārsts DN65</t>
  </si>
  <si>
    <t>Balansējošais vārsts DN50</t>
  </si>
  <si>
    <t>4.26</t>
  </si>
  <si>
    <t>4.27</t>
  </si>
  <si>
    <t>4.28</t>
  </si>
  <si>
    <t>4.29</t>
  </si>
  <si>
    <t>Papildus atslēdzošo armaturu uzstādišana siltumtrases ievada ēka (bedre 700x700x1000 ar luku</t>
  </si>
  <si>
    <t>Tērauda fasondetaļu komplekts</t>
  </si>
  <si>
    <t xml:space="preserve">Veca siltummezgla demontāžā darbi </t>
  </si>
  <si>
    <t>Ugunsdrošas montāžas blīvējums HILTI CFS-F FX vai ekvivalents</t>
  </si>
  <si>
    <t>N2XCH-FE 180/ E90 3x1,5mm2</t>
  </si>
  <si>
    <t>Stieple St/Zn-8mm</t>
  </si>
  <si>
    <t>Lokanais savienojums</t>
  </si>
  <si>
    <t>7.4.</t>
  </si>
  <si>
    <t>Multiklemme 8-10mm</t>
  </si>
  <si>
    <t>7.5.</t>
  </si>
  <si>
    <t>Stieples turētājs līdzeniem jumtiem</t>
  </si>
  <si>
    <t>7.6.</t>
  </si>
  <si>
    <t>Turētājs pie sienas</t>
  </si>
  <si>
    <t>7.7.</t>
  </si>
  <si>
    <t>7.8.</t>
  </si>
  <si>
    <t>Pieslēgspaile pie metāla konstrukcijām</t>
  </si>
  <si>
    <t>7.9.</t>
  </si>
  <si>
    <t>8.10.</t>
  </si>
  <si>
    <t>Laistīšanas krāns apkopējas vajadzībām - Virtuves izlietnes garais jaucējkrāns ar kartstā un aukstā ūdens pieslēgumiem ), piestiprināms pie sienas ~60 cm augstumā virs grīdas, montāža</t>
  </si>
  <si>
    <t>Koka iekšdurviju bloku montāža, krāsa RAL7038, kārbā iestādāta blīvgumija. Prasības furnitūrai: rokturis ar uzliku un slēdzeni alumīnijs vai nerūs.tērauds, ēņģes no matēti hromēta tērauda, grīdā montēt durvju atduru, (skrūvēm, dībeļiem, stiprinājumiem, durvju apmalēm, montāžas putas, ieskaitot visus nepieciešamos materiālus) saskaņā ar specifikāciju. (Furnitūras paraugus saskaņot ar projekta autori) durvju apraksts skat. lapā AR -13</t>
  </si>
  <si>
    <t>Aizsargapmalu demontāža, transportēšana un utilizācija</t>
  </si>
  <si>
    <t>Esošo betona kapņu demontāža, transportēšana un utilizācija</t>
  </si>
  <si>
    <t xml:space="preserve">Zāliena seguma noņemšana un aizvēšana uz būvuzņēmēja atbērtni </t>
  </si>
  <si>
    <t>Metāla pandusu izbūve</t>
  </si>
  <si>
    <t xml:space="preserve">Grunts izstrādāšana ar roku darbu </t>
  </si>
  <si>
    <t>Betona stabs: betons C20/25 (ieskaitot  veidņu uzstādīšana un izjaukšana pārseguma plātnēm, distanceri)</t>
  </si>
  <si>
    <t xml:space="preserve">Cinkota margas MM1, izgatavošana un montāža (rokturis ᴓ50x5mm, L=19600mm; met.profils ᴓ15mm, L=20x160mm - 3,2m; □ 40x40mm, L=10gb, x 900mm - 9m; □ 40x40mm, L=10gb.x80mm - 0,8m; metāla cepurēte statnīm 40x40x5mm - 10., (ieskaitot elektrodi, skābeklis un montāža saskaņā ar tehnoloģiju, skat.ĢP-02) </t>
  </si>
  <si>
    <t xml:space="preserve">Cinkota margas MM2, izgatavošana un montāža (rokturis ᴓ50x5mm, L=26000mm; met.profils ᴓ15mm, L=28x160mm - 4,48m; □ 40x40mm, L=14gb, x 900mm - 12,6m; □ 40x40mm, L=14gb.x80mm - 1,12m; metāla cepurēte statnīm 40x40x5mm - 14gb., (ieskaitot elektrodi, skābeklis un montāža saskaņā ar tehnoloģiju, skat.ĢP-02) </t>
  </si>
  <si>
    <t xml:space="preserve">Metāla pandus MP1, izgatavošana un montāža (pandusa segums - met. cinkots režģis - PS34*11 - 16m2; □ 50x100x5mm ik pēc 1m, L=1,15mx9gb.,  - 10,5m; □50x100x5mm - met.profils L=11mx2gb., 1,6mx2gb. - 1,4m. - 27m.; met.profils - ∟100x150x5mm - 22m; met.profils □50x70x5mm bet.stabā, h=24gb.x0,2m...0,6m ~ 10m, (ieskaitot elektrodi, skābeklis un montāža saskaņā ar tehnoloģiju, skat.ĢP-02) </t>
  </si>
  <si>
    <t>Betona bruģa segums</t>
  </si>
  <si>
    <t>betona bruģa segums</t>
  </si>
  <si>
    <t>skalotas smilts h=5 cm</t>
  </si>
  <si>
    <t>šķembu maisījums fr.0-40 mm, h=12 cm</t>
  </si>
  <si>
    <t>Jumtiņa seguma uzklāšana, skat.AR-7</t>
  </si>
  <si>
    <t>Jumtiņa ieklāšana ar ruloniem materiāliem 2 kārtas, lietojot uz kausēšanas tehnoloģiju</t>
  </si>
  <si>
    <t>ruberoīds vai ekvivalents, 2 kārtas (ieskaitot gāze un palīgmateriālus, saskaņā ar tehnoloģiju)</t>
  </si>
  <si>
    <t>OSB plāksne b=20mm ieklāšana</t>
  </si>
  <si>
    <t>Ruberoīda ieklāšana ar 2 kārtas, lietojot uz kausēšanas tehnoloģiju</t>
  </si>
  <si>
    <t>Locīta skārda loksne, iekausēta
ruļļmateriāla jumta seguma slāņos</t>
  </si>
  <si>
    <t>Hidroizolācija</t>
  </si>
  <si>
    <t>Dzegas apšūšana ar koka dēliem 
(100x20 biezumā) ar attālumiem ik pēc 15mm, papildus karkasu (stiprinātas ar krāsotām fasādes skrūvēm pie koka dēļa saskaņā ar ražotāja instrukciju)</t>
  </si>
  <si>
    <t>Dzegas koka konstrukciju gruntešana un krāsošana 2.kārtas</t>
  </si>
  <si>
    <t xml:space="preserve"> krāsa Pinotex Ultra apse vai ekvivalents</t>
  </si>
  <si>
    <t xml:space="preserve">Iekārtā ūdens tekne ar slīpumu 0.5%, (precizēt vietā), montāža, (Iekļaujot stiprinājuma skrūves un visus nepieciešamos materiālus saskaņā ar tehnoloģiju)  </t>
  </si>
  <si>
    <t xml:space="preserve">Taisnstūrveida notekcaurule, □95x70mm, montāža, (Iekļaujot stiprinājuma skrūves un visus nepieciešamos materiālus saskaņā ar tehnoloģiju)  </t>
  </si>
  <si>
    <t>Metāla panduss. Jumtiņa seguma uzklāšana.</t>
  </si>
  <si>
    <t>cem.-smilšu java M1000, b=10mm</t>
  </si>
  <si>
    <t xml:space="preserve">Grīdu izlīdzinošas ar betona javu kārta 2...10mm biez. ieskaitot visus nepieciešamos materiālus, palīgmateriāli </t>
  </si>
  <si>
    <t xml:space="preserve">flīzes </t>
  </si>
  <si>
    <t>Griestu virsmu tīrīšana.</t>
  </si>
  <si>
    <t>linolejs PVH 34 kl.</t>
  </si>
  <si>
    <t>Koka grīdas segums. Koka segums sporta zālēm ar krāsojumu basketbolam, volejbolam. Sporta grīda ar daudzslāņu cietkoka virskārtu k-tā  ieklāšana ar lakošanu (ieklāšana saskaņā ar izveidošanas tehnoloģiju, iekļaujot visus nepieciešamos materiālus). t.sk.:</t>
  </si>
  <si>
    <t>Ugunsdrošības signalizācijas kabeļis 1x2x0.8 E30 ; JE-HH FE180 E30 1x2x0,8</t>
  </si>
  <si>
    <t>Elektrokabelis E30 3x1.5; NHXHFE180/E30 3x1.5</t>
  </si>
  <si>
    <t>Lamināta apšuvums pa met. karkasu, h=2100mm, ierīkot virs grīdas 150mm  ierīkošana</t>
  </si>
  <si>
    <t>Ķieģeļu pilastri 120mm biezumā, līdz dz/betona pārsegumam</t>
  </si>
  <si>
    <t>SS1. Starpsienu konstrukcijas b=150mm no divām kārtām reģipša uz metāla karkasa ar akmens vates pildījumu (b=100) ierīkošana (ugunsiztur. EI 30; skaņas izolācija 53 dB)</t>
  </si>
  <si>
    <t xml:space="preserve"> reģipsis KNAUF GKB vai ekvivalents</t>
  </si>
  <si>
    <t xml:space="preserve">  minerālvate Paroc eXtra b=40mm 
vai ekvivalents </t>
  </si>
  <si>
    <t xml:space="preserve"> minerālvate Paroc eXtra b=75mm 
vai ekvivalents </t>
  </si>
  <si>
    <t>Starpsienu konstrukcijas b=100mm no divām kārtām reģipša uz metāla karkasa ar akmens vates pildījumu (b=50) ierīkošana ar skaņas izolāciju Rw=53/54db</t>
  </si>
  <si>
    <t>Kanalizācijas apšuvuma kārba (ar ugunsdrošu reģipsi).</t>
  </si>
  <si>
    <t xml:space="preserve">ūdens emulsijas krāsa </t>
  </si>
  <si>
    <t>Margas 900mm(h) ar koka rokturi (∅40mm) 
un trīs metāla statņiem (30x30x3mm), 
L=1800mm., montāža (Ieskaitot visus nepieciešamos materiālus un palīgmateriālus, saskaņā ar tehnoloģiju). Izpildīt pēc MM1 tipa, skat. AR-29</t>
  </si>
  <si>
    <t>Margas 900mm(h) ar koka rokturi (∅40mm) 
un trīs metāla statņiem (30x30x3mm), 
L=1200mm., montāža (Ieskaitot visus nepieciešamos materiālus un palīgmateriālus, saskaņā ar tehnoloģiju). Izpildīt pēc MM1 tipa, skat. AR-29.</t>
  </si>
  <si>
    <t>11.1</t>
  </si>
  <si>
    <t>Sienas zīdaiņu pārtinamais galdiņš 500x800x200mm</t>
  </si>
  <si>
    <t>Zīmju un norāžu (atbilstoši vadlīnijām par vides pieejamību) uzstādīšana, t.sk:</t>
  </si>
  <si>
    <t>29.1</t>
  </si>
  <si>
    <t>Taktiko (sataustāmo) apzīmējumu vai numuru (Braila rakstā) uzstādīšana</t>
  </si>
  <si>
    <t>29.2</t>
  </si>
  <si>
    <t>Kontrastējošā dzeltenā svītra ≤ 50mm (LBN208-15; p.52.5)</t>
  </si>
  <si>
    <t xml:space="preserve">ugunsdrošo apmetuma 
java (telpas: Nr.11; 12; 13; 14; 39) </t>
  </si>
  <si>
    <t>Jumta atjaunošana virs sporta zāles pēc zibensaizsardzības uzstādīšanas</t>
  </si>
  <si>
    <t>9.1</t>
  </si>
  <si>
    <t>Ruļļmateriālu jumta seguma un siltumizolācijas demontāža zibensaizsardzības uzstādīšanas vietās</t>
  </si>
  <si>
    <t>9.2</t>
  </si>
  <si>
    <t>Ruļļmateriālu jumta seguma un siltumizolācijas slāņa atjaunošana pēc zibensaizsardzības uzstādīšanas, (ieskaitot gāze un palīgmateriālus, saskaņā ar tehnoloģiju)</t>
  </si>
  <si>
    <t>9.3</t>
  </si>
  <si>
    <t>Skārda ventilācijas izvada uzstādīšana</t>
  </si>
  <si>
    <t>El.kārbas apšūšana ar reģipsi (nodrošināt ugunsizturību EI-60)</t>
  </si>
  <si>
    <t>UPE 160, l=1700mm</t>
  </si>
  <si>
    <t>Metāla aiļu pārsedžu montāža: PR-1-1 - 1gb., t.sk.:</t>
  </si>
  <si>
    <t>UPE 160, l=2700mm</t>
  </si>
  <si>
    <t xml:space="preserve"> siltumizolācija ar max blīvumu ≤125kg/m3, λ=0,035W/mK, b=150 mm</t>
  </si>
  <si>
    <t>Filtraudums vai plēve (mitrā ekspluatācijas režīmā)</t>
  </si>
  <si>
    <t xml:space="preserve"> siltumizolācija ar max blīvumu ≤125kg/m3, λ=0,035W/mK, b=100 mm</t>
  </si>
  <si>
    <t>Stiegrota betona pamatne ieklāšana b=80mm,  ieskaitot siets ᴓ4Bpl 100/100, betona sūknēšana un transportēšana</t>
  </si>
  <si>
    <t>Grīdas gulšnu uzstādīšana, stiprinājuma cinkots leņķis ∟20x30, stiprināt ar bultskrūvēm</t>
  </si>
  <si>
    <t>koka bruses 100x50mm, 
(t.sk. cinkots leņķis ∟20x30, bultskrūve)</t>
  </si>
  <si>
    <t xml:space="preserve"> siltumizolācija ar max blīvumu ≤125kg/m3, λ=0,035W/mK, b=50 mm</t>
  </si>
  <si>
    <t xml:space="preserve">D-1, vienvērtnes durvis 1050x2100, Rw=31/30dB </t>
  </si>
  <si>
    <t xml:space="preserve">D-2, vienvērtnes durvis 950x2100, Rw=31/30dB  </t>
  </si>
  <si>
    <t xml:space="preserve">D-3, vienvērtnes durvis 900x2100, Rw=31/30dB </t>
  </si>
  <si>
    <t xml:space="preserve">D-5, vienvērtnes durvis, 
krāsa RAL7038s, 1200x2100, Rw=31/30dB </t>
  </si>
  <si>
    <t xml:space="preserve">D-9, vienvērtnes durvis 1050x2000, Rw=31/30dB </t>
  </si>
  <si>
    <t xml:space="preserve">D-7 1050x2100. Vienvērtnes durvis.                                                          Durvju brīvais platums 900mm, durvju brīvais augstums ne mazāk 2000mm, saskaņā ar LBN201-15,p.149., Rw=33dB </t>
  </si>
  <si>
    <t xml:space="preserve">D-8 1600x2300. Divvērtņu durvis, 
Rw=33dB  </t>
  </si>
  <si>
    <t xml:space="preserve">UD-1 1450x2350 Divvērtņu ugunsdrošās iekšdurvis ar EI30, Rw=31/30dB, atvēršanās mehānismus - drošības aizslēgs ar rokturi atbilstoši standartam LVS EN 179, pašaizvēršanās mehānismu </t>
  </si>
  <si>
    <t xml:space="preserve">UD-2 1050x2100 vienvērtņu ugunsdrošās iekšdurvis ar EI30, Rw=31/30dB. Durvju brīvais platums 900mm, durvju brīvais augstums ne mazāk 2000mm, saskaņā ar LBN201-15,p.149. </t>
  </si>
  <si>
    <t>UD-3 900x2100 vienvērtņu ugunsdrošās iekšdurvis ar EI30, Rw=31/30dB. Durvju brīvais augstums ne mazāk 2000mm, saskaņā ar LBN201-15,p.149.</t>
  </si>
  <si>
    <t>UD-4 850x2100 vienvērtņu ugunsdrošās iekšdurvis ar EI30, Rw=31/30dB. Durvju brīvais augstums ne mazāk 2000mm, saskaņā ar LBN201-15,p.149.</t>
  </si>
  <si>
    <t xml:space="preserve">UD-5 1400x2100 Divvērtņu ugunsdrošās iekšdurvis ar EI30, Rw=31/30dB, atvēršanās mehānismus - drošības aizslēgs ar rokturi atbilstoši standartam LVS EN 179, pašaizvēršanās mehānismu. Durvju brīvais augstums ne mazāk 2000mm, saskaņā ar LBN201-15,p.149. </t>
  </si>
  <si>
    <t>UD-7 1050x2100  vienvērtņu ugunsdrošās iekšdurvis ar EI30, Rw=31/30dB. Durvju brīvais platums 900mm, durvju brīvais augstums ne mazāk 2000mm, saskaņā ar LBN201-15,p.149.</t>
  </si>
  <si>
    <t xml:space="preserve">USTS1 3200x2700, Rw=31/30dB </t>
  </si>
  <si>
    <t xml:space="preserve">USTS2 2700x2700, Rw=31/30dB </t>
  </si>
  <si>
    <t xml:space="preserve">Piekārtie griesti moduļveida pa metāla karkasu 1200x600mm, 600x600mm montāža, klase - A2-s1,d0 NE 13501-1, Rw≤55dB, ieskaitot visus nepieciešamos materiālus un palīgmateriālus, saskaņā ar tehnologiju. </t>
  </si>
  <si>
    <t>Trokšņa slāpētājs, LDR600x600-1000</t>
  </si>
  <si>
    <t>Gaisa ieņemšanas reste, 1200x600</t>
  </si>
  <si>
    <t>Tērauda ventilis metināmais, Dn65, 
Naval (PN25) vai ekvivalents</t>
  </si>
  <si>
    <t>Plākšņu siltummainis, XB52M-1-70; N=246kW, "Danfoss" vai ekvivalents</t>
  </si>
  <si>
    <t>Drošības vārsts , 6 bar</t>
  </si>
  <si>
    <t>Tērauda ventilis metināmais, Dn65, 
Naval vai ekvivalents</t>
  </si>
  <si>
    <t>(būvdarbu veids vai konstruktīvā elementa nosaukums)</t>
  </si>
  <si>
    <t>Būvdarbu apjomu saraksts. Nr.1-1.</t>
  </si>
  <si>
    <t xml:space="preserve">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</si>
  <si>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Būvdarbu nosaukums</t>
  </si>
  <si>
    <t>Apjomi sastādīti, pamatojoties uz AR daļas rasējumiem.</t>
  </si>
  <si>
    <t>9skat.AR-2; AR-24 ÷ AR-28)</t>
  </si>
  <si>
    <r>
      <t xml:space="preserve">Objekta nosaukums: </t>
    </r>
    <r>
      <rPr>
        <u val="single"/>
        <sz val="10"/>
        <rFont val="Arial"/>
        <family val="2"/>
      </rPr>
      <t>Daugavpils pilsētas vispārējās izglītības iestādes ēkas Parādes ielā 7, Daugavpilī, pārbūve macību uzlabošanai.</t>
    </r>
  </si>
  <si>
    <r>
      <t xml:space="preserve">Objekta adrese: </t>
    </r>
    <r>
      <rPr>
        <u val="single"/>
        <sz val="10"/>
        <rFont val="Arial"/>
        <family val="2"/>
      </rPr>
      <t>Parādes ielā 7, Daugavpils</t>
    </r>
  </si>
  <si>
    <r>
      <t xml:space="preserve">Pasūtījuma Nr.: </t>
    </r>
    <r>
      <rPr>
        <sz val="10"/>
        <rFont val="Arial"/>
        <family val="2"/>
      </rPr>
      <t>16PARAD</t>
    </r>
  </si>
  <si>
    <t>Dēļu grīdu un podiums nojaukšana un utilizācija</t>
  </si>
  <si>
    <t>Gabalparketa dēļišu grīdu izjaukšana,saglabājot dēlīši un utilizācija</t>
  </si>
  <si>
    <t xml:space="preserve">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ekvivalentiem tehniskiem raksturojumiem. </t>
  </si>
  <si>
    <t>Mērvienība</t>
  </si>
  <si>
    <t>Daudzums</t>
  </si>
  <si>
    <t xml:space="preserve">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</si>
  <si>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Būvdarbu apjomu saraksts. Nr.1-2.</t>
  </si>
  <si>
    <t xml:space="preserve">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</si>
  <si>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t>
  </si>
  <si>
    <t>Būvgružu savākšana un transportēšana uz izgāztuvi un utilizācija</t>
  </si>
  <si>
    <t>stiegrojums ø4 Bp I-100x100 armēt katru 3 rindu</t>
  </si>
  <si>
    <t>Vieglas sanmezglu starpsienas montāža. Lamināta apšuvums pa met. karkasu, h=2100mm, ierīkot virs grīdas 150mm (ieskaito: D-6. Materiāls -  lamināta iekšdurvis, krāsa - RAL7038. Vienvērtnes durvis. Durvju brīvais platums 700mm. Durvju brīvais augstums ne mazāk 2000mm)</t>
  </si>
  <si>
    <r>
      <t>Būves nosaukums:</t>
    </r>
    <r>
      <rPr>
        <sz val="10"/>
        <rFont val="Arial"/>
        <family val="2"/>
      </rPr>
      <t xml:space="preserve"> </t>
    </r>
    <r>
      <rPr>
        <u val="single"/>
        <sz val="10"/>
        <rFont val="Arial"/>
        <family val="2"/>
      </rPr>
      <t>Daugavpils pilsētas vispārējās izglītības iestādes ēkas Parādes ielā 7, Daugavpilī, pārbūve macību uzlabošanai.</t>
    </r>
  </si>
  <si>
    <t>Būvdarbu apjomu saraksts. Nr.1-3.</t>
  </si>
  <si>
    <t>Apjomi sastādīti, pamatojoties uz BK daļas rasējumiem.</t>
  </si>
  <si>
    <t>Betonēšana, (ieskaitot betona transportēšanu un sūknēšanu, veidņu uzstādīšana un izjaukšana pārseguma plātnēm, distanceri)</t>
  </si>
  <si>
    <t>Betonēšana  (ieskaitot betona transportēšanu un sūknēšanu,veidņu uzstādīšana un izjaukšana pārseguma plātnēm, distanceri)</t>
  </si>
  <si>
    <t>Būvdarbu apjomu saraksts. Nr.1-4.</t>
  </si>
  <si>
    <t>Betona stabiņu 150x150x100(h)mm betonēšana  (ieskaitot betona transportēšanu un sūknēšanu,veidņu uzstādīšana un izjaukšana pārseguma plātnēm, distanceri)</t>
  </si>
  <si>
    <t>Durvis.</t>
  </si>
  <si>
    <t>Būvdarbu apjomu saraksts. Nr.1-5.</t>
  </si>
  <si>
    <t>Mīkstā starplika b=0.2 ÷ 5mm</t>
  </si>
  <si>
    <t>Pārsegums cokola, 1. ÷ 4 stāva 
skat. BK-2 ÷ BK-5</t>
  </si>
  <si>
    <r>
      <rPr>
        <b/>
        <sz val="10"/>
        <rFont val="Arial"/>
        <family val="2"/>
      </rPr>
      <t>MS-1</t>
    </r>
    <r>
      <rPr>
        <sz val="10"/>
        <rFont val="Arial"/>
        <family val="2"/>
      </rPr>
      <t>: IPE 240, l=6500mm</t>
    </r>
  </si>
  <si>
    <r>
      <rPr>
        <b/>
        <sz val="10"/>
        <rFont val="Arial"/>
        <family val="2"/>
      </rPr>
      <t>MS-2:</t>
    </r>
    <r>
      <rPr>
        <sz val="10"/>
        <rFont val="Arial"/>
        <family val="2"/>
      </rPr>
      <t xml:space="preserve"> ∟120x120x10,l=2130mm</t>
    </r>
  </si>
  <si>
    <r>
      <rPr>
        <b/>
        <sz val="10"/>
        <rFont val="Arial"/>
        <family val="2"/>
      </rPr>
      <t>MS-3:</t>
    </r>
    <r>
      <rPr>
        <sz val="10"/>
        <rFont val="Arial"/>
        <family val="2"/>
      </rPr>
      <t xml:space="preserve"> IPE 240, l=5900mm</t>
    </r>
  </si>
  <si>
    <r>
      <rPr>
        <b/>
        <sz val="10"/>
        <rFont val="Arial"/>
        <family val="2"/>
      </rPr>
      <t>MS-4:</t>
    </r>
    <r>
      <rPr>
        <sz val="10"/>
        <rFont val="Arial"/>
        <family val="2"/>
      </rPr>
      <t xml:space="preserve"> ∟120x120x10,l=1040mm</t>
    </r>
  </si>
  <si>
    <r>
      <rPr>
        <b/>
        <sz val="10"/>
        <rFont val="Arial"/>
        <family val="2"/>
      </rPr>
      <t>MS-5:</t>
    </r>
    <r>
      <rPr>
        <sz val="10"/>
        <rFont val="Arial"/>
        <family val="2"/>
      </rPr>
      <t xml:space="preserve"> ∟120x120x10,l=920mm</t>
    </r>
  </si>
  <si>
    <r>
      <rPr>
        <b/>
        <sz val="10"/>
        <rFont val="Arial"/>
        <family val="2"/>
      </rPr>
      <t>MS-6</t>
    </r>
    <r>
      <rPr>
        <sz val="10"/>
        <rFont val="Arial"/>
        <family val="2"/>
      </rPr>
      <t>: IPE 240, l=3500mm</t>
    </r>
  </si>
  <si>
    <r>
      <rPr>
        <b/>
        <sz val="10"/>
        <rFont val="Arial"/>
        <family val="2"/>
      </rPr>
      <t>MS-7:</t>
    </r>
    <r>
      <rPr>
        <sz val="10"/>
        <rFont val="Arial"/>
        <family val="2"/>
      </rPr>
      <t xml:space="preserve"> ∟120x120x10,l=840mm</t>
    </r>
  </si>
  <si>
    <t>D-6. Materiāls -  lamināta iekšdurvis, krāsa - RAL7038. Vienvērtnes durvis. Durvju brīvais platums 700mm.
Durvju brīvais augstums ne mazāk 2000mm. (skat.tāme - "Sienas un starpsienas")</t>
  </si>
  <si>
    <t>Būvdarbu apjomu saraksts. Nr.1-6.</t>
  </si>
  <si>
    <t>Griesti skat. AR-24 ÷ AR-28</t>
  </si>
  <si>
    <t>Linoleja (augstvērtīgs PVC segums) ieklāšana: nodilumizturība ≥34 klase; biezums -2mm; aizsargkārta ar PUR pārklajumu -0.7mm; pretslīdes aizsardzība -R10; paliekošais iespiedums &lt;0.1mm; izmēru stabilitāte &lt;0.1%; ugunsizturība -Bfl-S1, Rw≤15dB  (iekļaujot visus nepieciešamos materiālus (grunts, linoleja līme, metināšanas aukla)</t>
  </si>
  <si>
    <r>
      <rPr>
        <b/>
        <sz val="10"/>
        <rFont val="Arial"/>
        <family val="2"/>
      </rPr>
      <t>GS-3.</t>
    </r>
    <r>
      <rPr>
        <sz val="10"/>
        <rFont val="Arial"/>
        <family val="2"/>
      </rPr>
      <t xml:space="preserve"> Restaurējamā grīdas segumu. Slīpēts betons ar saistvielām, ar dekoratīvo segumu "Teraco" vai ekvivalents, saskaņā ar izveidošanas tehnoloģiju, iekļaujot visus nepieciešamos materiālus  </t>
    </r>
  </si>
  <si>
    <r>
      <rPr>
        <b/>
        <sz val="10"/>
        <rFont val="Arial"/>
        <family val="2"/>
      </rPr>
      <t>GS-6</t>
    </r>
    <r>
      <rPr>
        <sz val="10"/>
        <rFont val="Arial"/>
        <family val="2"/>
      </rPr>
      <t xml:space="preserve">. Slīpēts betons ar saistvielām saskaņā ar izveidošanas tehnoloģiju, iekļaujot visus nepieciešamos materiālus  </t>
    </r>
  </si>
  <si>
    <r>
      <rPr>
        <b/>
        <sz val="10"/>
        <rFont val="Arial"/>
        <family val="2"/>
      </rPr>
      <t>GS-7</t>
    </r>
    <r>
      <rPr>
        <sz val="10"/>
        <rFont val="Arial"/>
        <family val="2"/>
      </rPr>
      <t xml:space="preserve">. Slīpēts betons ar saistvielām ar dekoratīvo segumu Bayramix colorix" vai ekvivalents, saskaņā ar izveidošanas tehnoloģiju, iekļaujot visus nepieciešamos materiālus  </t>
    </r>
  </si>
  <si>
    <t>Būvdarbu apjomu saraksts. Nr.1-7.</t>
  </si>
  <si>
    <r>
      <rPr>
        <b/>
        <sz val="10"/>
        <rFont val="Arial"/>
        <family val="2"/>
      </rPr>
      <t>MM1; MM2; MM3; MM4; MM5</t>
    </r>
    <r>
      <rPr>
        <sz val="10"/>
        <rFont val="Arial"/>
        <family val="2"/>
      </rPr>
      <t xml:space="preserve"> - metāla margas montāža. Materiāls - koka rokturis,  stiprināt ar 5.poz. -7x30 bultskrūviem. Paredzēt 6 stiprinājumus pie kāpņu laukumiņa plaknes. Esošos 2 stiprinājumus pie kāpņu laukumiņa plaknes. Paredzēt 7 stiprinājumus pie kāpņu laukumiņa plaknes. Krāsojums: *Rokturis - antiseptisks krāsojums kokam, RAL 3011 sarkanā krāsa; *Metāla detaļas margām - nerūsējošais tērauds, (Ieskaitot visus nepieciešamos materiālus un palīgmateriālus, saskaņā ar tehnoloģiju.), skat. lapā AR-29. t.sk.:</t>
    </r>
  </si>
  <si>
    <r>
      <rPr>
        <b/>
        <sz val="10"/>
        <rFont val="Arial"/>
        <family val="2"/>
      </rPr>
      <t>MM4; MM5</t>
    </r>
    <r>
      <rPr>
        <sz val="10"/>
        <rFont val="Arial"/>
        <family val="2"/>
      </rPr>
      <t xml:space="preserve"> - metāla margas montāža. Materiāls - koka rokturis,  stiprināt ar 5.poz. -7x30 bultskrūviem. Paredzēt stiprinājumus pie kāpņu laukumiņa plaknes. Krāsojums: *Rokturis - antiseptisks krāsojums kokam, RAL 3011 sarkanā krāsa; *Metāla detaļas margām - nerūsējošais tērauds, (Ieskaitot visus nepieciešamos materiālus un palīgmateriālus, saskaņā ar tehnoloģiju.), skat. lapā AR-29. t.sk.:</t>
    </r>
  </si>
  <si>
    <r>
      <rPr>
        <b/>
        <sz val="10"/>
        <rFont val="Arial"/>
        <family val="2"/>
      </rPr>
      <t>MM10</t>
    </r>
    <r>
      <rPr>
        <sz val="10"/>
        <rFont val="Arial"/>
        <family val="2"/>
      </rPr>
      <t xml:space="preserve"> - metāla margas montāža. Materiāls - koka rokturis,  stiprināt ar 5.poz. -7x30 bultskrūviem. Paredzēt 2 stiprinājumus pie kāpņu laukumiņa plaknes. Krāsojums: *Rokturis - antiseptisks krāsojums kokam, RAL 3011 sarkanā krāsa; *Metāla detaļas margām - nerūsējošais tērauds, (Ieskaitot visus nepieciešamos materiālus un palīgmateriālus, saskaņā ar tehnoloģiju.), skat. lapā AR-29. t.sk.:</t>
    </r>
  </si>
  <si>
    <r>
      <rPr>
        <b/>
        <sz val="10"/>
        <rFont val="Arial"/>
        <family val="2"/>
      </rPr>
      <t>MM8; MM9</t>
    </r>
    <r>
      <rPr>
        <sz val="10"/>
        <rFont val="Arial"/>
        <family val="2"/>
      </rPr>
      <t xml:space="preserve"> - metāla margas montāža. Materiāls - koka rokturis,  stiprināt ar 5.poz. -7x30 bultskrūviem. Paredzēt 4 stiprinājumus pie kāpņu laukumiņa plaknes. Krāsojums: *Rokturis - antiseptisks krāsojums kokam, RAL 3011 sarkanā krāsa; *Metāla detaļas margām - nerūsējošais tērauds, (Ieskaitot visus nepieciešamos materiālus un palīgmateriālus, saskaņā ar tehnoloģiju.), skat. lapā AR-29. t.sk.:</t>
    </r>
  </si>
  <si>
    <r>
      <rPr>
        <b/>
        <sz val="10"/>
        <rFont val="Arial"/>
        <family val="2"/>
      </rPr>
      <t>MM7</t>
    </r>
    <r>
      <rPr>
        <sz val="10"/>
        <rFont val="Arial"/>
        <family val="2"/>
      </rPr>
      <t xml:space="preserve"> - metāla margas montāža. Materiāls - koka rokturis,  stiprināt ar 5.poz. -7x30 bultskrūviem. Paredzēt 4 stiprinājumus pie kāpņu laukumiņa plaknes.
Krāsojums: *Rokturis - antiseptisks krāsojums kokam, RAL 3011 sarkanā krāsa; *Metāla detaļas margām - nerūsējošais tērauds, (Ieskaitot visus nepieciešamos materiālus un palīgmateriālus, saskaņā ar tehnoloģiju.), skat. lapā AR-29. t.sk.:</t>
    </r>
  </si>
  <si>
    <t>Būvdarbu apjomu saraksts. Nr.2-1.</t>
  </si>
  <si>
    <t>Apjomi sastādīti, pamatojoties uz ŪK daļas rasējumiem.</t>
  </si>
  <si>
    <t>Būvdarbu apjomu saraksts. Nr.2-2.</t>
  </si>
  <si>
    <t>Būvdarbu apjomu saraksts. Nr.2-3.</t>
  </si>
  <si>
    <t>Apjomi sastādīti, pamatojoties uz AVK-V daļas rasējumiem.</t>
  </si>
  <si>
    <t>Būvdarbu apjomu saraksts. Nr.2-4.</t>
  </si>
  <si>
    <t>Ventlācijas sistēmas kaloriferu siltumapgade.</t>
  </si>
  <si>
    <t>Apjomi sastādīti, pamatojoties uz AVK-K daļas rasējumiem.</t>
  </si>
  <si>
    <t>Būvdarbu apjomu saraksts. Nr.2-5.</t>
  </si>
  <si>
    <t>Apjomi sastādīti, pamatojoties uz AVK-A daļas rasējumiem.</t>
  </si>
  <si>
    <t>Būvdarbu apjomu saraksts. Nr.3-1.</t>
  </si>
  <si>
    <t>Būvdarbu apjomu saraksts. Nr.4-4.</t>
  </si>
  <si>
    <t>Apjomi sastādīti, pamatojoties uz SM daļas rasējumiem.</t>
  </si>
  <si>
    <t>Apjomi sastādīti, pamatojoties uz ESS AS daļas rasējumiem.</t>
  </si>
  <si>
    <t>Būvdarbu apjomu saraksts. Nr.2-7.</t>
  </si>
  <si>
    <t>Būvdarbu apjomu saraksts. Nr.2-6.</t>
  </si>
  <si>
    <t>Būvdarbu apjomu saraksts. Nr.2-8.</t>
  </si>
  <si>
    <t>Apjomi sastādīti, pamatojoties uz ESS daļas rasējumiem.</t>
  </si>
  <si>
    <t>Būvdarbu apjomu saraksts. Nr.2-9.</t>
  </si>
  <si>
    <t>2.35.</t>
  </si>
  <si>
    <t>2.43</t>
  </si>
  <si>
    <t>2.44</t>
  </si>
  <si>
    <t>2.45</t>
  </si>
  <si>
    <t>Būvdarbu apjomu saraksts. Nr.2-10.</t>
  </si>
  <si>
    <t>Apjomi sastādīti, pamatojoties uz ESS VN daļas rasējumiem.</t>
  </si>
  <si>
    <t>Būvdarbu apjomu saraksts. Nr.2-11.</t>
  </si>
  <si>
    <t>Apjomi sastādīti, pamatojoties uz UAS daļas rasējumiem.</t>
  </si>
  <si>
    <t>Būvdarbu apjomu saraksts. Nr.2-12.</t>
  </si>
  <si>
    <t>Automātiskās vadības sistēma - ugunsdzēsības hidranti</t>
  </si>
  <si>
    <t>Apjomi sastādīti, pamatojoties uz UAS UH daļas rasējumiem.</t>
  </si>
  <si>
    <t>Automātiskās vadības sistēma - ugunsdzēsības hidranti.</t>
  </si>
  <si>
    <t>Būvdarbu apjomu saraksts. Nr.2-14.</t>
  </si>
  <si>
    <t>Būvdarbu apjomu saraksts. Nr.2-13.</t>
  </si>
  <si>
    <t>Apjomi sastādīti, pamatojoties uz UAS IS daļas rasējumiem.</t>
  </si>
  <si>
    <t>Apjomi sastādīti, pamatojoties uz EL daļas rasējumiem.</t>
  </si>
  <si>
    <t>Apjomi sastādīti, pamatojoties uz ŪKT daļas rasējumiem.</t>
  </si>
  <si>
    <t>Būvdarbu apjomu saraksts. Nr.4-1.</t>
  </si>
  <si>
    <t>Būvdarbu apjomu saraksts. Nr.4-2.</t>
  </si>
  <si>
    <t>Būvdarbu apjomu saraksts. Nr.4-3.</t>
  </si>
  <si>
    <t>Apjomi sastādīti, pamatojoties uz ĢP,AR daļas rasējumiem.</t>
  </si>
  <si>
    <t>Apjomi sastādīti, pamatojoties uz DOP daļas rasējumiem.</t>
  </si>
  <si>
    <t>reģipsis GKB (KNAUF White) vai ekvivalents</t>
  </si>
  <si>
    <t>reģipsis GKBI (KNAUF Green) vai ekvivalents</t>
  </si>
  <si>
    <t>Knauf RED (GKF) ugunsizturīgs reģipsis vai ekvivalents</t>
  </si>
  <si>
    <t>reģips GKBI vai ekvivalents</t>
  </si>
  <si>
    <t>Vetonīt 3000 vai ekvivalents</t>
  </si>
  <si>
    <t xml:space="preserve"> "Bi-Power" starplika vai ekvivalents</t>
  </si>
  <si>
    <t>Esošā karstā ūdensvada demontāža un utilizācija (apjomus precizēt daba)</t>
  </si>
  <si>
    <t>Eosošā ūdens cirkulācijas vada demontāža un utilizācija  (apjomus precizēt daba)</t>
  </si>
  <si>
    <t>Pieplūdes reste 
NOVA-A-200x100+PRG-1-200x100 vai ekvivalents</t>
  </si>
  <si>
    <t>Pieplūdes reste 
NOVA-A-300x150+PRG-1-300x150 vai ekvivalents</t>
  </si>
  <si>
    <t>Nosūces reste 
NOVA-A-200x100+PRG-1-200x100 vai ekvivalents</t>
  </si>
  <si>
    <t>Nosūces reste 
NOVA-A-300x150+PRG-1-300x150 vai ekvivalents</t>
  </si>
  <si>
    <t>Izolācija ISOVER, 22x30 vai ekvivalents</t>
  </si>
  <si>
    <t>Izolācija ISOVER, 28x30 vai ekvivalents</t>
  </si>
  <si>
    <t>Izolācija ISOVER, 35x30 vai ekvivalents</t>
  </si>
  <si>
    <t>Izolācija ISOVER, 42x30 vai ekvivalents</t>
  </si>
  <si>
    <t>Izolācija ISOVER, 54x30 vai ekvivalents</t>
  </si>
  <si>
    <t>Izolācija ISOVER, 63x30 vai ekvivalents</t>
  </si>
  <si>
    <t>Izolācija ISOVER, 72x30 vai ekvivalents</t>
  </si>
  <si>
    <t>Izolācija ISOVER, 89x30 vai ekvivalents</t>
  </si>
  <si>
    <t>Apkures radiators komplektā ar iebūvētu  korķi un montāžas stiprinājumiem "Purmo Compact" , C11-400-1100  vai ekvivalents</t>
  </si>
  <si>
    <t>Apkures radiators komplektā ar iebūvētu  korķi un montāžas stiprinājumiem "Purmo Compact" , C11-400-1200 vai ekvivalents</t>
  </si>
  <si>
    <t>Apkures radiators komplektā ar iebūvētu  korķi un montāžas stiprinājumiem "Purmo Compact" , C11-400-1400 vai ekvivalents</t>
  </si>
  <si>
    <t>Apkures radiators komplektā ar iebūvētu  korķi un montāžas stiprinājumiem "Purmo Compact" , C11-400-1600 vai ekvivalents</t>
  </si>
  <si>
    <t>Apkures radiators komplektā ar iebūvētu  korķi un montāžas stiprinājumiem "Purmo Compact" , C11-400-1800 vai ekvivalents</t>
  </si>
  <si>
    <t>Apkures radiators komplektā ar iebūvētu  korķi un montāžas stiprinājumiem "Purmo Compact" , C11-400-2000 vai ekvivalents</t>
  </si>
  <si>
    <t>Apkures radiators komplektā ar iebūvētu  korķi un montāžas stiprinājumiem "Purmo Compact" , C11-500-1000 vai ekvivalents</t>
  </si>
  <si>
    <t>Apkures radiators komplektā ar iebūvētu  korķi un montāžas stiprinājumiem "Purmo Compact" , C11-600-500 vai ekvivalents</t>
  </si>
  <si>
    <t>Apkures radiators komplektā ar iebūvētu  korķi un montāžas stiprinājumiem "Purmo Compact" , C11-900-800 vai ekvivalents</t>
  </si>
  <si>
    <t>Apkures radiators komplektā ar iebūvētu  korķi un montāžas stiprinājumiem "Purmo Compact" , C22-300-1000 vai ekvivalents</t>
  </si>
  <si>
    <t>Apkures radiators komplektā ar iebūvētu  korķi un montāžas stiprinājumiem "Purmo Compact" , C22-300-1400 vai ekvivalents</t>
  </si>
  <si>
    <t>Apkures radiators komplektā ar iebūvētu  korķi un montāžas stiprinājumiem "Purmo Compact" , C22-300-1600 vai ekvivalents</t>
  </si>
  <si>
    <t>Apkures radiators komplektā ar iebūvētu  korķi un montāžas stiprinājumiem "Purmo Compact" , C22-300-700 vai ekvivalents</t>
  </si>
  <si>
    <t>Apkures radiators komplektā ar iebūvētu  korķi un montāžas stiprinājumiem "Purmo Compact" , C22-300-800 vai ekvivalents</t>
  </si>
  <si>
    <t>Apkures radiators komplektā ar iebūvētu  korķi un montāžas stiprinājumiem "Purmo Compact" , C22-300-900 vai ekvivalents</t>
  </si>
  <si>
    <t>Apkures radiators komplektā ar iebūvētu  korķi un montāžas stiprinājumiem "Purmo Compact" , C22-400-1000 vai ekvivalents</t>
  </si>
  <si>
    <t>Apkures radiators komplektā ar iebūvētu  korķi un montāžas stiprinājumiem "Purmo Compact" , C22-400-1200 vai ekvivalents</t>
  </si>
  <si>
    <t>Apkures radiators komplektā ar iebūvētu  korķi un montāžas stiprinājumiem "Purmo Compact" , C22-400-1400 vai ekvivalents</t>
  </si>
  <si>
    <t>Apkures radiators komplektā ar iebūvētu  korķi un montāžas stiprinājumiem "Purmo Compact" , C22-400-1600 vai ekvivalents</t>
  </si>
  <si>
    <t>Apkures radiators komplektā ar iebūvētu  korķi un montāžas stiprinājumiem "Purmo Compact" , C22-400-1800 vai ekvivalents</t>
  </si>
  <si>
    <t>Apkures radiators komplektā ar iebūvētu  korķi un montāžas stiprinājumiem "Purmo Compact" , C22-400-600 vai ekvivalents</t>
  </si>
  <si>
    <t>Apkures radiators komplektā ar iebūvētu  korķi un montāžas stiprinājumiem "Purmo Compact" , C22-400-800 vai ekvivalents</t>
  </si>
  <si>
    <t>Apkures radiators komplektā ar iebūvētu  korķi un montāžas stiprinājumiem "Purmo Compact" , C22-500-1200 vai ekvivalents</t>
  </si>
  <si>
    <t>Apkures radiators komplektā ar iebūvētu  korķi un montāžas stiprinājumiem "Purmo Compact" , C22-500-1400 vai ekvivalents</t>
  </si>
  <si>
    <t>Apkures radiators komplektā ar iebūvētu  korķi un montāžas stiprinājumiem "Purmo Compact" , C22-500-1600 vai ekvivalents</t>
  </si>
  <si>
    <t>Apkures radiators komplektā ar iebūvētu  korķi un montāžas stiprinājumiem "Purmo Compact" , C22-500-700 vai ekvivalents</t>
  </si>
  <si>
    <t>Apkures radiators komplektā ar iebūvētu  korķi un montāžas stiprinājumiem "Purmo Compact" , C22-600-1200 vai ekvivalents</t>
  </si>
  <si>
    <t>Apkures radiators komplektā ar iebūvētu  korķi un montāžas stiprinājumiem "Purmo Compact" , C22-900-1000 vai ekvivalents</t>
  </si>
  <si>
    <t>Apkures radiators komplektā ar iebūvētu  korķi un montāžas stiprinājumiem "Purmo Compact" , C22-900-1100 vai ekvivalents</t>
  </si>
  <si>
    <t>Apkures radiators komplektā ar iebūvētu  korķi un montāžas stiprinājumiem "Purmo Compact" , C22-900-800 vai ekvivalents</t>
  </si>
  <si>
    <t>Apkures radiators komplektā ar iebūvētu  korķi un montāžas stiprinājumiem "Purmo Compact" , C22-900-900 vai ekvivalents</t>
  </si>
  <si>
    <t>Apkures radiators komplektā ar iebūvētu  korķi un montāžas stiprinājumiem "Purmo Compact" , C33-900-700 vai ekvivalents</t>
  </si>
  <si>
    <t>Apkures radiators "Purmo Plan Hygiene"  vai ekvivalents
 FH20.500.1400</t>
  </si>
  <si>
    <t>Izolācija ISOVER, 15x30 vai ekvivalents</t>
  </si>
  <si>
    <t>Izolācija ISOVER, 18x30 vai ekvivalents</t>
  </si>
  <si>
    <t>Siltumskaitītājs, SONOMETER1000,  vai ekvivalents
Q=15m3/h, Dn32</t>
  </si>
  <si>
    <t>Kontrolpanelis FoxSec FS9000 metāla skapī  vai ekvivalents</t>
  </si>
  <si>
    <t>ACME SS208 ACCORD datoru skaļruņi  vai ekvivalents</t>
  </si>
  <si>
    <t>CPU: Pentium 4 processor (3.2 GHz)  vai ekvivalents</t>
  </si>
  <si>
    <t>Programmnodrošinājums  - FOXSEC NET+/M vai ekvivalents</t>
  </si>
  <si>
    <t>Programmnodrošinājums  - FoxSec Workstation licence vai ekvivalents</t>
  </si>
  <si>
    <t>Barošānas bloks ; Telefire TPS-34А  vai ekvivalents</t>
  </si>
  <si>
    <t>Adrešu dūmu detektors EN54-7;  Telefire TFO-480A vai ekvivalents</t>
  </si>
  <si>
    <t>Adrešu siltuma detektors EN54-5; Telefire TFH-220A vai ekvivalents</t>
  </si>
  <si>
    <t>Adrešu trauksmes poga EN54-11; Telefire TPB-800 vai ekvivalents</t>
  </si>
  <si>
    <t>Detektoru baze; Telefire TFB-180 vai ekvivalents</t>
  </si>
  <si>
    <t>Iznesamais indikators; Telefire TFL-1NA vai ekvivalents</t>
  </si>
  <si>
    <t>Adrešu ieejas/izejas modulis Telefire ADR-823A vai ekvivalents</t>
  </si>
  <si>
    <t>Adrešu liniju izolators Telefire LI-3000 vai ekvivalents</t>
  </si>
  <si>
    <t>Montāžas kārba moduļiem  Telefire AIB-800ASRE vai ekvivalents</t>
  </si>
  <si>
    <t>Sirēna ar strobu arēja Telefire TFS-4484 vai ekvivalents</t>
  </si>
  <si>
    <t>Adrešu kontrolpanelis (4 cilpas) EN54-2, Telefire ADR-3000/4 vai ekvivalents</t>
  </si>
  <si>
    <t>Adrešu kontrolpanelis (2 cilpas) EN54-2, Telefire ADR-3000/2 vai ekvivalents</t>
  </si>
  <si>
    <t>Detektoru baze Telefire TFB-180 vai ekvivalents</t>
  </si>
  <si>
    <t>Vadības kontrolpanelis -Telefire TSA1000/8E vai ekvivalents</t>
  </si>
  <si>
    <t>Programmējamais relejs Zelio Logic SR2B121BD vai ekvivalents</t>
  </si>
  <si>
    <t>Ugunsdzēsības hidranta vadības pogas - Telefire TPB-10RE vai ekvivalents</t>
  </si>
  <si>
    <t>Bosh Plena kontrolieris, LBB 1990/00 vai ekvivalents</t>
  </si>
  <si>
    <t>Bosh Plena zonu paplašinātājs, LBB 1992/00 vai ekvivalents</t>
  </si>
  <si>
    <t>Bosh Plena pastiprinātājs 240W, LBB 1935/20 vai ekvivalents</t>
  </si>
  <si>
    <t>Multimēdiju atskaņotājs Bosch PLE-SDT vai ekvivalents</t>
  </si>
  <si>
    <t>Plena EOL plate PLN‑1EOL  vai ekvivalents</t>
  </si>
  <si>
    <t>Skaļruņu savienotājs EVAC LBC1256/00 vai ekvivalents</t>
  </si>
  <si>
    <t>Gaismeklis LIRA LIGHTING 280550.10.OP.05 OVER READY 5500lm 3000K EVG IP20 ar spuld.  vai ekvivalents</t>
  </si>
  <si>
    <t>Gaismeklis ROVASI 101LNX.1.01-I198 Downlight led 17W 3000K CRI80 IP65 ar spuld. vai ekvivalents</t>
  </si>
  <si>
    <t>Gaismeklis TRILUX 7131 O 1200 LED3000-830 ET IP65 ar spuld. vai ekvivalents</t>
  </si>
  <si>
    <t>Gaismeklis TRILUX 7131 O 1500 LED4000-830 ET IP65 ar spuld. vai ekvivalents</t>
  </si>
  <si>
    <t>Gaismeklis TRILUX 7131 O 1500 LED4000-830 ET IP65 + EMG 1h ar akum. baterijām 1st. ar spuld. vai ekvivalents</t>
  </si>
  <si>
    <t>Gaismeklis TRILUX 74Q WD2 LED2000-830 ETDD IP40 ar spuld. vai ekvivalents</t>
  </si>
  <si>
    <t>Gaismeklis TRILUX 74Q WD2 LED2000-830 ETDD IP40 + EMG 1h ar akum. baterijām 1st. ar spuld. vai ekvivalents</t>
  </si>
  <si>
    <t>Gaismeklis TRILUX 74Q WD3 LED3300-830 ETDD IP40 ar spuld. vai ekvivalents</t>
  </si>
  <si>
    <t>Gaismeklis TRILUX 74Q WD3 LED3300-830 ETDD IP40 + EMG 1h ar akum. baterijām 1st.ar spuld. vai ekvivalents</t>
  </si>
  <si>
    <t>Gaismeklis TRILUX Amatris C04 WR LED2000nw 01 ETDD IP20 ar spuld. vai ekvivalents</t>
  </si>
  <si>
    <t>Gaismeklis TRILUX Amatris C04 WR LED2000nw 01 ETDD IP20 + EMG 1h ar akum. baterijām 1st. ar spuld. vai ekvivalents</t>
  </si>
  <si>
    <t>Gaismeklis TRILUX Ambiella G2 C04 HR LED800-830 01 ET IP44 ar spuld. vai ekvivalents</t>
  </si>
  <si>
    <t>Gaismeklis TRILUX Ambiella G2 C04 HR LED800-830 01 ET IP44 + EMG 1h ar akum. baterijām 1st.ar spuld. vai ekvivalents</t>
  </si>
  <si>
    <t>Gaismeklis TRILUX Ambiella G2 C07 HR LED1300-830 01 ET IP44 ar spuld. vai ekvivalents</t>
  </si>
  <si>
    <t>Gaismeklis TRILUX Ambiella G2 C07 HR LED1300-830 01 ET IP44 + EMG 1h ar akum. baterijām 1st.ar spuld. vai ekvivalents</t>
  </si>
  <si>
    <t>Gaismeklis TRILUX AthenikLP C05 HR22 1000-830 01 + DA-M 01 ETDD IP54 ar spuld. vai ekvivalents</t>
  </si>
  <si>
    <t>Gaismeklis TRILUX AthenikLP C05 HR22 1000-830 01 + DA-M 01 ETDD IP54 + EMG 1h ar akum. baterijām 1st. ar spuld. vai ekvivalents</t>
  </si>
  <si>
    <t>Gaismeklis TRILUX AthenikLP C05 HR22 1800-830 01 + DA-M 01 ETDD IP54 ar spuld. vai ekvivalents</t>
  </si>
  <si>
    <t>Gaismeklis TRILUX AthenikLP C05 HR22 1800-830 01 + DA-M 01 ETDD IP54 + EMG 1h ar akum. baterijām 1st. ar spuld. vai ekvivalents</t>
  </si>
  <si>
    <t>Gaismeklis TRILUX Mondia G2 WD2 LED1600-830 ETDD IP40 ar spuld. vai ekvivalents</t>
  </si>
  <si>
    <t>Gaismeklis TRILUX Mondia G2 WD3 LED2800-830 ETDD IP40 ar spuld. vai ekvivalents</t>
  </si>
  <si>
    <t>Gaismeklis TRILUX Olexeon 1200 B 4000-840 ETDD IP66 ar spuld. vai ekvivalents</t>
  </si>
  <si>
    <t>Gaismeklis TRILUX Olexeon 1500 B 4000-840 ETDD IP66 ar spuld. vai ekvivalents</t>
  </si>
  <si>
    <t>Gaismeklis TRILUX PolaronIQ W2 LED2000-830 ETDD PolaronIQ IP20 ar spuld. vai ekvivalents</t>
  </si>
  <si>
    <t>Gaismeklis TRILUX PolaronIQ WD1-2 LED3000-830 ETDD PolaronIQ IP20 ar spuld. vai ekvivalents</t>
  </si>
  <si>
    <t>Gaismeklis TRILUX PolaronIQ WD2 LED2000-830 ETDD PolaronIQ IP20 ar spuld. vai ekvivalents</t>
  </si>
  <si>
    <t>Gaismeklis TRILUX PolaronIQ WD2 LED2000-830 ETDD PolaronIQ IP20 + EMG 1h ar akum. baterijām 1st. ar spuld. vai ekvivalents</t>
  </si>
  <si>
    <t>Gaismeklis TRILUX Belviso C1 625 CDP LED3900nw 01 ETDD Belviso IP20 ar spuld. vai ekvivalents</t>
  </si>
  <si>
    <t>Gaismeklis TRILUX Siella G3 M46 OTA19 LED3200-830 ETDD IP40 ar spuld. vai ekvivalents</t>
  </si>
  <si>
    <t>Gaismeklis TRILUX Siella II M73 OTA19 LED3200-830 ET ( 6452640 ) IP30 ar spuld. vai ekvivalents</t>
  </si>
  <si>
    <t>Gaismeklis TRILUX 7482 G2 LED1400-830 ET IP65 + dekoratīvais gredzens 07482 DD ar spuld. vai ekvivalents</t>
  </si>
  <si>
    <t>Virsapmetuma režģis Siella, balts (6670900)  vai ekvivalents</t>
  </si>
  <si>
    <t>Gaismeklis TRILUX 7482 G2 LED1400-830 ET IP65 + dekoratīvais gredzens 07482 DD ar iebūv. kustības sensoru ar spuld. vai ekvivalents</t>
  </si>
  <si>
    <t>Gaismeklis TRILUX Actison G3 RSX3 14000-840 ETDD IP20 ar spuld. vai ekvivalents</t>
  </si>
  <si>
    <t>Gaismeklis TRILUX Liventy 600 OT LED3900ww 01 ETDD IP20 ar spuld. vai ekvivalents</t>
  </si>
  <si>
    <t>Gaismeklis TRILUX Montigo 1500 O 3300-830 ETDD IP40 ar spuld. vai ekvivalents</t>
  </si>
  <si>
    <t>Gaismeklis "Izeja" LED ar akumulatoru baterijām 1 st., spuldz. un  iebūvētai diodei, kura deg, ja tā pieslēgta pie tīkla komplektā vai ekvivalents</t>
  </si>
  <si>
    <t>Aco seporators Lipumax tauku atdalītaja Q~4l/s ar paraugu ņemšanas iekārtu, Ø1321 montāža  vai ekvivalents</t>
  </si>
  <si>
    <t>Pasažieru lifta Schindler 3100, celtspēja 630kg, ātrums 0,63 m/s, 4 pieruras, pieejas no vienas puses, pacelšanas augstums 9,99m, siksnu, bez reduktora, bez mašīntelpas, un piegāde un apmācība  vai ekvivalents</t>
  </si>
  <si>
    <t>Pacelšanas platforma "Stepper" 750x1000mm; kravas celšanas spēja - 230kg; pacelšanas augstums - līdz 3,5m; pieturu skaits - 2; motorizēta, frontāla iebraukšana; vadības pogas stavos un uz platformas, un piegāde un apmācība vai ekvivalents</t>
  </si>
  <si>
    <t>Labiekārtošanas, skat.ĢP-02</t>
  </si>
  <si>
    <t>Gluda loksne "RUUKKI" (RR23), 800mm platumā ieklāšana, (Iekļaujot stiprinājuma skrūves un visus nepieciešamos materiālus saskaņā ar tehnoloģiju) vai ekvivalents</t>
  </si>
  <si>
    <t xml:space="preserve">Sienas ūdens tekne ar slīpumu 0.5%, tonis - RR23 (t.pelēks) montāža, (Iekļaujot stiprinājuma skrūves un visus nepieciešamos materiālus saskaņā ar tehnoloģiju)  </t>
  </si>
  <si>
    <t>SS2- Esoša ķieģeļu starpsiena 380mm - 58dB; ugunsiztur. REI 120. Starpsienu konstrukcijas apšūšana ar divām kārtām reģipša uz metāla karkasa ar akmens vates pildījumu: Ģipškartona loksne - 2 x12.5mm  "KNAUF GKB" vai ekvivalents,  PAROC eXtra vai ekvivalents=40mm,; minerālvate Paroc eXtra 75mm(45dB) vai ekvivalents. Kopēja skaņas izolācija &lt;63 dB</t>
  </si>
  <si>
    <t>SS3- Esoša ķieģeļu starpsiena 120mm - 49dB; ugunsiztur. REI 120. Starpsienu konstrukcijas apšūšana ar divām kārtām reģipša uz metāla karkasa ar akmens vates pildījumu: Ģipškartona loksne - 2 x12.5mm  "KNAUF GKB" vai ekvivalents,  PAROC eXtra b=40mm vai ekvivalents,; minerālvate Paroc eXtra 75mm (45dB) vai ekvivalents. Kopēja skaņas izolācija &lt;63 dB</t>
  </si>
  <si>
    <t>Starpsienu konstrukcijas KNAUF ugunsdrošība starpsiena ar EI 60 vai ekvivalents, b=150mm no divām kārtām reģipša uz metāla karkasa ar akmens vates pildījumu (b=80mm) ierīkošana, ar skaņas izolāciju Rw=53/54db</t>
  </si>
  <si>
    <t>Gaisa nosūces reste , 
PELICAN CEa HF-400-600-F+ALSc 315-400 vai ekvivalents</t>
  </si>
  <si>
    <t>Pieplūdes reste , 
NOVA-A-300x150+PRG-1-300x150 vai ekvivalents</t>
  </si>
  <si>
    <t>Nosūces reste ,
 NOVA-A-300x150+PRG-1-300x150 vai ekvivalents</t>
  </si>
  <si>
    <t>Pieplūdes reste , 
NOVA-A-200x100+PRG-1-200x100 vai ekvivalents</t>
  </si>
  <si>
    <t>Nosūces reste , 
NOVA-A-200x100+PRG-1-200x100 vai ekvivalents</t>
  </si>
  <si>
    <t>Nosūces reste , 
NOVA-A-300x150+PRG-1-300x150 vai ekvivalents</t>
  </si>
  <si>
    <t>Virtuves nosūce ar filtru (stiprinajums pie siena) GNPA, 1000x1000x450 vai ekvivalents</t>
  </si>
  <si>
    <t>Sadzīves ventilators Silent 100 vienvirziena vārstu vai ekvivalents; L(N)=90m³/h; H=20Pa; Nel.=8W</t>
  </si>
  <si>
    <t>Sadzīves ventilators Silent 200 ar vienvirziena vārstu vai ekvivalents; L(N)=50m³/h; H=25Pa; Nel.=16W</t>
  </si>
  <si>
    <t>OPTIMA-NW-3-P-WO-Hw-We-6732/6732 (vai ekvivalents):  L(N)=6732m³/h;H=310 Pa                                                     L(P)=6732 m³/h;H=310 Pa
Rotejošais siltummainis 
F6 filtri pieplūdei
F5 filtri nosūcei
Ūdens sildīšanas sekcija - 31.1 kW
Direct-driven motors pieplūdei 
Direct-driven motors nosūcei
Noslēgvārsti ar elektropedziņu  2 gab.
Mīkstie savienojumi
Frekvenču pārveidotājs  2 gab.
Automātika un spēka sadale 1 gab.
CAREL iekārtas vadība ar Frekvenču
pārveidotājiem, kanāla CO2 devēju vai ekvivalents +
WEB (ModBus) ( komplektā ar
trīsgaitas vārstu, motorizētu servo
piedziņu sildītājam
Pretaizsalšanas automatika
SUM (B-SRP) 40-2.5 Šunta iekārta,  1 gab.</t>
  </si>
  <si>
    <t>OPTIMA-NW-3-P-WO-Hw-We-6732/6732. SmartAir 3-KR SW50 R Gaisa apstrādes agregāts SALDA (vai ekvivalents): L(P)=4900 m³/h;H=200, PaL(N)=4900m³/h;H=200 Pa
Rotejošais siltummainis 
EU6 filtri pieplūdei
EU5 filtri nosūcei
Ūdens sildīšanas sekcija - 19.8 kW
Direct-driven motors pieplūdei - 1.5 kW
Direct-driven motors nosūcei - 1.5 kW
Recirkulācijas sekcija
Noslēgvārsti
Frekvenču pārveidotājs SV 015 iG5A-4 380-460V 1.5kW
Automātika un spēka sadale
CORRIGO-E281DW-3 Kontrolieris vai ekvivalents, ar displeju, TCP/IP TRAFO40N3/D Transformators, DIN 3 moduļu sliede, TG-AH1/PT1000 Temperatūras devējs, virsmas, TG-KH/PT1000 Temperatūras devējs, kanāla PS 600 Spiediena slēdzis, ar cauruli SPINN/D Rotācijas kontrolieris 230V RR-G3 Rotācijas Sensors
SF230A Vārsta motors, 20Nm, 230V, ar atsperi NM 230 (RDAB10-230) Vārsta motors, 10 Nm - 2m², NM 24-SR (RDAB10-24A) Vārsta motors, 10 Nm, CO2 DT Kanāla sensors (CTDT2)
Sildītājs: SUM (B-SRP) 40-1.6 Šunta iekārta, bez motora LRC24A-SR Vārsta motors, 5Nm, 35s</t>
  </si>
  <si>
    <t>Radioraidītajs "Korteks" vai ekvivalents</t>
  </si>
  <si>
    <t>Datu serveris:
1. Lenovo System x3550 M5 5463 - Server - rack-mountable - 1U - 2-way - 1 x Xeon E5-2620V3 / 2.4 GHz - RAM 16 GB - SAS - hot-swap 2.5" - no HDD - DVD-Writer - G200eR2 - GigE - no OS - Monitor : none - TopSeller
2.  Lenovo Gen3 512e - Hard drive - 600 GB - hot-swap - 2.5" - SAS 12Gb/s - 10000 rpm - for System x3550 M5 (2.5"); x3650 M5 (2.5"); x3950 X6 (2.5") - 3 gab.
3. Lenovo Integrated Management Module II Advanced Upgrade - Licence ( Feature-on-Demand (FoD) / activation key ) - for System x iDataPlex dx360 M4; System x3100 M4; x3250 M4; x3250 M5; x35XX M4; x36XX M4. (vai ekvivalents)</t>
  </si>
  <si>
    <t xml:space="preserve">Saskaņā ar izslēgtajiem darbu apjomiem sarakstā Nr.2-9 autoruzraudzības kārtībā tiks veiktas izmaiņas </t>
  </si>
  <si>
    <t>rasējumu lapās ESS 3, ESS 7, ESS 9</t>
  </si>
</sst>
</file>

<file path=xl/styles.xml><?xml version="1.0" encoding="utf-8"?>
<styleSheet xmlns="http://schemas.openxmlformats.org/spreadsheetml/2006/main">
  <numFmts count="4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quot;р.&quot;_-;\-* #,##0.00&quot;р.&quot;_-;_-* &quot;-&quot;??&quot;р.&quot;_-;_-@_-"/>
    <numFmt numFmtId="169" formatCode="_-* #,##0.00_р_._-;\-* #,##0.00_р_._-;_-* &quot;-&quot;??_р_._-;_-@_-"/>
    <numFmt numFmtId="170" formatCode="0.0"/>
    <numFmt numFmtId="171" formatCode="0.000"/>
    <numFmt numFmtId="172" formatCode="_-* #,##0.00_-;\-* #,##0.00_-;_-* \-??_-;_-@_-"/>
    <numFmt numFmtId="173" formatCode="#,##0.0"/>
    <numFmt numFmtId="174" formatCode="_(* #,##0.00_);_(* \(#,##0.00\);_(* \-??_);_(@_)"/>
    <numFmt numFmtId="175" formatCode="0.000000"/>
    <numFmt numFmtId="176" formatCode="0.00;[Red]0.00"/>
    <numFmt numFmtId="177" formatCode="_-&quot;Ls &quot;* #,##0.00_-;&quot;-Ls &quot;* #,##0.00_-;_-&quot;Ls &quot;* \-??_-;_-@_-"/>
    <numFmt numFmtId="178" formatCode="&quot; &quot;#,##0.00&quot; &quot;;&quot;-&quot;#,##0.00&quot; &quot;;&quot; -&quot;#&quot; &quot;;&quot; &quot;@&quot; &quot;"/>
    <numFmt numFmtId="179" formatCode="&quot; &quot;#,##0.00&quot;    &quot;;&quot;-&quot;#,##0.00&quot;    &quot;;&quot; -&quot;#&quot;    &quot;;&quot; &quot;@&quot; &quot;"/>
    <numFmt numFmtId="180" formatCode="#,##0.00\ ;\-#,##0.00\ ;&quot; -&quot;#\ ;@\ "/>
    <numFmt numFmtId="181" formatCode="&quot; Ls &quot;#,##0.00&quot; &quot;;&quot;-Ls &quot;#,##0.00&quot; &quot;;&quot; Ls -&quot;#&quot; &quot;;&quot; &quot;@&quot; &quot;"/>
    <numFmt numFmtId="182" formatCode="&quot; &quot;#,##0.00&quot;р. &quot;;&quot;-&quot;#,##0.00&quot;р. &quot;;&quot; -&quot;#&quot;р. &quot;;&quot; &quot;@&quot; &quot;"/>
    <numFmt numFmtId="183" formatCode="[$-426]General"/>
    <numFmt numFmtId="184" formatCode="#,##0.00[$Ls-426];[Red]&quot;-&quot;#,##0.00[$Ls-426]"/>
    <numFmt numFmtId="185" formatCode="#,##0.00&quot; &quot;[$€-407];[Red]&quot;-&quot;#,##0.00&quot; &quot;[$€-407]"/>
    <numFmt numFmtId="186" formatCode="_-* #,##0&quot;$&quot;_-;\-* #,##0&quot;$&quot;_-;_-* &quot;-&quot;&quot;$&quot;_-;_-@_-"/>
    <numFmt numFmtId="187" formatCode="_-* #,##0.00&quot;$&quot;_-;\-* #,##0.00&quot;$&quot;_-;_-* &quot;-&quot;??&quot;$&quot;_-;_-@_-"/>
    <numFmt numFmtId="188" formatCode="m\o\n\th\ d\,\ yyyy"/>
    <numFmt numFmtId="189" formatCode="#.00"/>
    <numFmt numFmtId="190" formatCode="#."/>
    <numFmt numFmtId="191" formatCode="&quot;See Note &quot;\ #"/>
    <numFmt numFmtId="192" formatCode="General_)"/>
    <numFmt numFmtId="193" formatCode="&quot;Jā&quot;;&quot;Jā&quot;;&quot;Nē&quot;"/>
    <numFmt numFmtId="194" formatCode="&quot;Patiess&quot;;&quot;Patiess&quot;;&quot;Aplams&quot;"/>
    <numFmt numFmtId="195" formatCode="&quot;Ieslēgts&quot;;&quot;Ieslēgts&quot;;&quot;Izslēgts&quot;"/>
    <numFmt numFmtId="196" formatCode="[$€-2]\ #\ ##,000_);[Red]\([$€-2]\ #\ ##,000\)"/>
    <numFmt numFmtId="197" formatCode="mmm\ dd"/>
    <numFmt numFmtId="198" formatCode="#,##0.00_р_."/>
    <numFmt numFmtId="199" formatCode="&quot;Yes&quot;;&quot;Yes&quot;;&quot;No&quot;"/>
    <numFmt numFmtId="200" formatCode="&quot;True&quot;;&quot;True&quot;;&quot;False&quot;"/>
    <numFmt numFmtId="201" formatCode="&quot;On&quot;;&quot;On&quot;;&quot;Off&quot;"/>
    <numFmt numFmtId="202" formatCode="[$€-2]\ #,##0.00_);[Red]\([$€-2]\ #,##0.00\)"/>
    <numFmt numFmtId="203" formatCode="dd\.mm\.yyyy"/>
  </numFmts>
  <fonts count="84">
    <font>
      <sz val="11"/>
      <color theme="1"/>
      <name val="Calibri"/>
      <family val="2"/>
    </font>
    <font>
      <sz val="11"/>
      <color indexed="8"/>
      <name val="Calibri"/>
      <family val="2"/>
    </font>
    <font>
      <sz val="10"/>
      <name val="Arial Cyr"/>
      <family val="2"/>
    </font>
    <font>
      <sz val="10"/>
      <name val="Arial"/>
      <family val="2"/>
    </font>
    <font>
      <sz val="12"/>
      <name val="Times New Roman"/>
      <family val="1"/>
    </font>
    <font>
      <sz val="10"/>
      <name val="Times New Roman"/>
      <family val="1"/>
    </font>
    <font>
      <sz val="10"/>
      <name val="Helv"/>
      <family val="0"/>
    </font>
    <font>
      <b/>
      <sz val="10"/>
      <name val="Arial"/>
      <family val="2"/>
    </font>
    <font>
      <sz val="10"/>
      <name val="Tahoma"/>
      <family val="2"/>
    </font>
    <font>
      <sz val="12"/>
      <name val="Courier New"/>
      <family val="3"/>
    </font>
    <font>
      <b/>
      <sz val="18"/>
      <color indexed="56"/>
      <name val="Cambria"/>
      <family val="2"/>
    </font>
    <font>
      <u val="single"/>
      <sz val="11"/>
      <color indexed="36"/>
      <name val="Calibri"/>
      <family val="2"/>
    </font>
    <font>
      <u val="single"/>
      <sz val="11"/>
      <color indexed="12"/>
      <name val="Calibri"/>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name val="MS Sans Serif"/>
      <family val="2"/>
    </font>
    <font>
      <sz val="11"/>
      <color indexed="8"/>
      <name val="Arial"/>
      <family val="2"/>
    </font>
    <font>
      <sz val="10"/>
      <name val="Arial Narrow"/>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8"/>
      <name val="Arial"/>
      <family val="2"/>
    </font>
    <font>
      <b/>
      <i/>
      <sz val="16"/>
      <color indexed="8"/>
      <name val="Arial"/>
      <family val="2"/>
    </font>
    <font>
      <sz val="10"/>
      <color indexed="8"/>
      <name val="Arial1"/>
      <family val="0"/>
    </font>
    <font>
      <b/>
      <i/>
      <u val="single"/>
      <sz val="11"/>
      <color indexed="8"/>
      <name val="Arial"/>
      <family val="2"/>
    </font>
    <font>
      <sz val="10"/>
      <color indexed="8"/>
      <name val="Helv"/>
      <family val="0"/>
    </font>
    <font>
      <sz val="1"/>
      <color indexed="8"/>
      <name val="Courier"/>
      <family val="3"/>
    </font>
    <font>
      <sz val="10"/>
      <name val="Baltica"/>
      <family val="0"/>
    </font>
    <font>
      <b/>
      <sz val="1"/>
      <color indexed="8"/>
      <name val="Courier"/>
      <family val="3"/>
    </font>
    <font>
      <b/>
      <sz val="18"/>
      <name val="ITCCenturyBookT"/>
      <family val="0"/>
    </font>
    <font>
      <b/>
      <sz val="14"/>
      <name val="ITCCenturyBookT"/>
      <family val="0"/>
    </font>
    <font>
      <sz val="14"/>
      <name val="ITCCenturyBookT"/>
      <family val="0"/>
    </font>
    <font>
      <sz val="12"/>
      <name val="Courier"/>
      <family val="1"/>
    </font>
    <font>
      <sz val="9"/>
      <name val="TextBook"/>
      <family val="0"/>
    </font>
    <font>
      <sz val="8"/>
      <name val="Helv"/>
      <family val="0"/>
    </font>
    <font>
      <sz val="11"/>
      <name val="Arial Narrow"/>
      <family val="2"/>
    </font>
    <font>
      <b/>
      <i/>
      <sz val="10"/>
      <name val="Arial"/>
      <family val="2"/>
    </font>
    <font>
      <sz val="10"/>
      <name val="Arial Baltic"/>
      <family val="2"/>
    </font>
    <font>
      <sz val="8"/>
      <name val="Arial Narrow"/>
      <family val="2"/>
    </font>
    <font>
      <sz val="12"/>
      <name val="Arial Narrow"/>
      <family val="2"/>
    </font>
    <font>
      <vertAlign val="superscript"/>
      <sz val="11"/>
      <name val="Arial"/>
      <family val="2"/>
    </font>
    <font>
      <sz val="10"/>
      <name val="Calibri"/>
      <family val="2"/>
    </font>
    <font>
      <i/>
      <sz val="10"/>
      <name val="Arial"/>
      <family val="2"/>
    </font>
    <font>
      <sz val="12"/>
      <name val="Arial"/>
      <family val="2"/>
    </font>
    <font>
      <sz val="8"/>
      <name val="Arial"/>
      <family val="2"/>
    </font>
    <font>
      <b/>
      <sz val="12"/>
      <name val="Arial"/>
      <family val="2"/>
    </font>
    <font>
      <b/>
      <sz val="10"/>
      <color indexed="8"/>
      <name val="Arial"/>
      <family val="2"/>
    </font>
    <font>
      <b/>
      <sz val="9"/>
      <name val="Arial"/>
      <family val="2"/>
    </font>
    <font>
      <sz val="11"/>
      <name val="Arial"/>
      <family val="2"/>
    </font>
    <font>
      <u val="single"/>
      <sz val="10"/>
      <name val="Arial"/>
      <family val="2"/>
    </font>
    <font>
      <b/>
      <i/>
      <sz val="12"/>
      <name val="Arial"/>
      <family val="2"/>
    </font>
    <font>
      <sz val="9"/>
      <name val="Tahoma"/>
      <family val="0"/>
    </font>
    <font>
      <b/>
      <sz val="9"/>
      <name val="Tahoma"/>
      <family val="0"/>
    </font>
    <font>
      <sz val="9"/>
      <name val="Arial Narrow"/>
      <family val="2"/>
    </font>
    <font>
      <sz val="10"/>
      <color indexed="63"/>
      <name val="Arial"/>
      <family val="2"/>
    </font>
    <font>
      <sz val="10"/>
      <color indexed="60"/>
      <name val="Arial"/>
      <family val="2"/>
    </font>
    <font>
      <b/>
      <sz val="10"/>
      <color indexed="10"/>
      <name val="Arial Narrow"/>
      <family val="2"/>
    </font>
    <font>
      <b/>
      <sz val="9"/>
      <color indexed="10"/>
      <name val="Arial Narrow"/>
      <family val="2"/>
    </font>
    <font>
      <sz val="11"/>
      <color theme="0"/>
      <name val="Calibri"/>
      <family val="2"/>
    </font>
    <font>
      <b/>
      <sz val="11"/>
      <color rgb="FFFA7D00"/>
      <name val="Calibri"/>
      <family val="2"/>
    </font>
    <font>
      <sz val="11"/>
      <color rgb="FF3F3F76"/>
      <name val="Calibri"/>
      <family val="2"/>
    </font>
    <font>
      <sz val="11"/>
      <color rgb="FF9C6500"/>
      <name val="Calibri"/>
      <family val="2"/>
    </font>
    <font>
      <b/>
      <sz val="11"/>
      <color rgb="FF3F3F3F"/>
      <name val="Calibri"/>
      <family val="2"/>
    </font>
    <font>
      <b/>
      <sz val="11"/>
      <color theme="1"/>
      <name val="Calibri"/>
      <family val="2"/>
    </font>
    <font>
      <sz val="10"/>
      <color rgb="FF414142"/>
      <name val="Arial"/>
      <family val="2"/>
    </font>
    <font>
      <sz val="10"/>
      <color rgb="FFC00000"/>
      <name val="Arial"/>
      <family val="2"/>
    </font>
    <font>
      <b/>
      <sz val="10"/>
      <color rgb="FFFF0000"/>
      <name val="Arial Narrow"/>
      <family val="2"/>
    </font>
    <font>
      <b/>
      <sz val="9"/>
      <color rgb="FFFF0000"/>
      <name val="Arial Narrow"/>
      <family val="2"/>
    </font>
    <font>
      <b/>
      <sz val="8"/>
      <name val="Calibri"/>
      <family val="2"/>
    </font>
  </fonts>
  <fills count="58">
    <fill>
      <patternFill/>
    </fill>
    <fill>
      <patternFill patternType="gray125"/>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7"/>
        <bgColor indexed="64"/>
      </patternFill>
    </fill>
    <fill>
      <patternFill patternType="solid">
        <fgColor indexed="36"/>
        <bgColor indexed="64"/>
      </patternFill>
    </fill>
    <fill>
      <patternFill patternType="solid">
        <fgColor indexed="20"/>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indexed="22"/>
        <bgColor indexed="64"/>
      </patternFill>
    </fill>
    <fill>
      <patternFill patternType="solid">
        <fgColor indexed="55"/>
        <bgColor indexed="64"/>
      </patternFill>
    </fill>
    <fill>
      <patternFill patternType="lightGray"/>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bottom style="thin">
        <color indexed="62"/>
      </bottom>
    </border>
    <border>
      <left/>
      <right/>
      <top/>
      <bottom style="thin">
        <color indexed="22"/>
      </bottom>
    </border>
    <border>
      <left/>
      <right/>
      <top/>
      <bottom style="thin">
        <color indexed="3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style="thin"/>
      <bottom style="thin"/>
    </border>
    <border>
      <left style="thin">
        <color indexed="8"/>
      </left>
      <right style="thin">
        <color indexed="8"/>
      </right>
      <top>
        <color indexed="63"/>
      </top>
      <bottom style="thin"/>
    </border>
    <border>
      <left>
        <color indexed="63"/>
      </left>
      <right style="thin"/>
      <top style="thin"/>
      <bottom style="thin"/>
    </border>
    <border>
      <left>
        <color indexed="63"/>
      </left>
      <right style="thin"/>
      <top style="thin"/>
      <bottom>
        <color indexed="63"/>
      </bottom>
    </border>
    <border>
      <left style="thin">
        <color indexed="8"/>
      </left>
      <right style="thin">
        <color indexed="8"/>
      </right>
      <top style="thin">
        <color indexed="8"/>
      </top>
      <bottom style="thin"/>
    </border>
    <border>
      <left>
        <color indexed="63"/>
      </left>
      <right>
        <color indexed="63"/>
      </right>
      <top style="thin"/>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style="thin"/>
      <bottom style="thin"/>
    </border>
    <border>
      <left>
        <color indexed="63"/>
      </left>
      <right>
        <color indexed="63"/>
      </right>
      <top>
        <color indexed="63"/>
      </top>
      <bottom style="hair">
        <color indexed="8"/>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color indexed="8"/>
      </top>
      <bottom style="thin">
        <color indexed="8"/>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color indexed="8"/>
      </top>
      <bottom style="thin"/>
    </border>
  </borders>
  <cellStyleXfs count="4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lignment/>
      <protection/>
    </xf>
    <xf numFmtId="0" fontId="13" fillId="3" borderId="0">
      <alignment/>
      <protection/>
    </xf>
    <xf numFmtId="0" fontId="13" fillId="4" borderId="0" applyNumberFormat="0" applyBorder="0" applyAlignment="0" applyProtection="0"/>
    <xf numFmtId="0" fontId="13" fillId="4" borderId="0" applyNumberFormat="0" applyBorder="0" applyAlignment="0" applyProtection="0"/>
    <xf numFmtId="0" fontId="13" fillId="5" borderId="0">
      <alignment/>
      <protection/>
    </xf>
    <xf numFmtId="0" fontId="13" fillId="5" borderId="0">
      <alignment/>
      <protection/>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6" borderId="0">
      <alignment/>
      <protection/>
    </xf>
    <xf numFmtId="0" fontId="1" fillId="16" borderId="0">
      <alignment/>
      <protection/>
    </xf>
    <xf numFmtId="0" fontId="1" fillId="7" borderId="0" applyNumberFormat="0" applyBorder="0" applyAlignment="0" applyProtection="0"/>
    <xf numFmtId="0" fontId="1" fillId="7" borderId="0" applyNumberFormat="0" applyBorder="0" applyAlignment="0" applyProtection="0"/>
    <xf numFmtId="0" fontId="1" fillId="17" borderId="0">
      <alignment/>
      <protection/>
    </xf>
    <xf numFmtId="0" fontId="1" fillId="17" borderId="0">
      <alignment/>
      <protection/>
    </xf>
    <xf numFmtId="0" fontId="1" fillId="8" borderId="0" applyNumberFormat="0" applyBorder="0" applyAlignment="0" applyProtection="0"/>
    <xf numFmtId="0" fontId="1" fillId="8" borderId="0" applyNumberFormat="0" applyBorder="0" applyAlignment="0" applyProtection="0"/>
    <xf numFmtId="0" fontId="1" fillId="18" borderId="0">
      <alignment/>
      <protection/>
    </xf>
    <xf numFmtId="0" fontId="1" fillId="18"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0" borderId="0" applyNumberFormat="0" applyBorder="0" applyAlignment="0" applyProtection="0"/>
    <xf numFmtId="0" fontId="1" fillId="10" borderId="0" applyNumberFormat="0" applyBorder="0" applyAlignment="0" applyProtection="0"/>
    <xf numFmtId="0" fontId="1" fillId="20" borderId="0">
      <alignment/>
      <protection/>
    </xf>
    <xf numFmtId="0" fontId="1" fillId="20" borderId="0">
      <alignment/>
      <protection/>
    </xf>
    <xf numFmtId="0" fontId="1" fillId="11" borderId="0" applyNumberFormat="0" applyBorder="0" applyAlignment="0" applyProtection="0"/>
    <xf numFmtId="0" fontId="1" fillId="11" borderId="0" applyNumberFormat="0" applyBorder="0" applyAlignment="0" applyProtection="0"/>
    <xf numFmtId="0" fontId="1" fillId="21" borderId="0">
      <alignment/>
      <protection/>
    </xf>
    <xf numFmtId="0" fontId="1" fillId="21" borderId="0">
      <alignment/>
      <protection/>
    </xf>
    <xf numFmtId="0" fontId="13" fillId="22" borderId="0" applyNumberFormat="0" applyBorder="0" applyAlignment="0" applyProtection="0"/>
    <xf numFmtId="0" fontId="13" fillId="22" borderId="0" applyNumberFormat="0" applyBorder="0" applyAlignment="0" applyProtection="0"/>
    <xf numFmtId="0" fontId="13" fillId="23" borderId="0">
      <alignment/>
      <protection/>
    </xf>
    <xf numFmtId="0" fontId="13" fillId="23" borderId="0">
      <alignment/>
      <protection/>
    </xf>
    <xf numFmtId="0" fontId="13" fillId="24" borderId="0" applyNumberFormat="0" applyBorder="0" applyAlignment="0" applyProtection="0"/>
    <xf numFmtId="0" fontId="13" fillId="24" borderId="0" applyNumberFormat="0" applyBorder="0" applyAlignment="0" applyProtection="0"/>
    <xf numFmtId="0" fontId="13" fillId="25" borderId="0">
      <alignment/>
      <protection/>
    </xf>
    <xf numFmtId="0" fontId="13" fillId="25" borderId="0">
      <alignment/>
      <protection/>
    </xf>
    <xf numFmtId="0" fontId="1" fillId="1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13" borderId="0" applyNumberFormat="0" applyBorder="0" applyAlignment="0" applyProtection="0"/>
    <xf numFmtId="0" fontId="1" fillId="13" borderId="0" applyNumberFormat="0" applyBorder="0" applyAlignment="0" applyProtection="0"/>
    <xf numFmtId="0" fontId="1" fillId="31" borderId="0">
      <alignment/>
      <protection/>
    </xf>
    <xf numFmtId="0" fontId="1" fillId="31" borderId="0">
      <alignment/>
      <protection/>
    </xf>
    <xf numFmtId="0" fontId="1" fillId="26" borderId="0" applyNumberFormat="0" applyBorder="0" applyAlignment="0" applyProtection="0"/>
    <xf numFmtId="0" fontId="1" fillId="26" borderId="0" applyNumberFormat="0" applyBorder="0" applyAlignment="0" applyProtection="0"/>
    <xf numFmtId="0" fontId="1" fillId="32" borderId="0">
      <alignment/>
      <protection/>
    </xf>
    <xf numFmtId="0" fontId="1" fillId="32"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27" borderId="0" applyNumberFormat="0" applyBorder="0" applyAlignment="0" applyProtection="0"/>
    <xf numFmtId="0" fontId="1" fillId="27" borderId="0" applyNumberFormat="0" applyBorder="0" applyAlignment="0" applyProtection="0"/>
    <xf numFmtId="0" fontId="1" fillId="33" borderId="0">
      <alignment/>
      <protection/>
    </xf>
    <xf numFmtId="0" fontId="1" fillId="33" borderId="0">
      <alignment/>
      <protection/>
    </xf>
    <xf numFmtId="0" fontId="13" fillId="34" borderId="0" applyNumberFormat="0" applyBorder="0" applyAlignment="0" applyProtection="0"/>
    <xf numFmtId="0" fontId="13" fillId="34" borderId="0" applyNumberFormat="0" applyBorder="0" applyAlignment="0" applyProtection="0"/>
    <xf numFmtId="0" fontId="13" fillId="35" borderId="0">
      <alignment/>
      <protection/>
    </xf>
    <xf numFmtId="0" fontId="13" fillId="35" borderId="0">
      <alignment/>
      <protection/>
    </xf>
    <xf numFmtId="0" fontId="13" fillId="36" borderId="0" applyNumberFormat="0" applyBorder="0" applyAlignment="0" applyProtection="0"/>
    <xf numFmtId="0" fontId="13" fillId="36" borderId="0" applyNumberFormat="0" applyBorder="0" applyAlignment="0" applyProtection="0"/>
    <xf numFmtId="0" fontId="13" fillId="37" borderId="0">
      <alignment/>
      <protection/>
    </xf>
    <xf numFmtId="0" fontId="13" fillId="37" borderId="0">
      <alignment/>
      <protection/>
    </xf>
    <xf numFmtId="0" fontId="13" fillId="38" borderId="0" applyNumberFormat="0" applyBorder="0" applyAlignment="0" applyProtection="0"/>
    <xf numFmtId="0" fontId="13" fillId="13" borderId="0" applyNumberFormat="0" applyBorder="0" applyAlignment="0" applyProtection="0"/>
    <xf numFmtId="0" fontId="13" fillId="26" borderId="0" applyNumberFormat="0" applyBorder="0" applyAlignment="0" applyProtection="0"/>
    <xf numFmtId="0" fontId="13" fillId="24" borderId="0" applyNumberFormat="0" applyBorder="0" applyAlignment="0" applyProtection="0"/>
    <xf numFmtId="0" fontId="13" fillId="34"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13" borderId="0" applyNumberFormat="0" applyBorder="0" applyAlignment="0" applyProtection="0"/>
    <xf numFmtId="0" fontId="13" fillId="26" borderId="0" applyNumberFormat="0" applyBorder="0" applyAlignment="0" applyProtection="0"/>
    <xf numFmtId="0" fontId="13" fillId="24" borderId="0" applyNumberFormat="0" applyBorder="0" applyAlignment="0" applyProtection="0"/>
    <xf numFmtId="0" fontId="13" fillId="34" borderId="0" applyNumberFormat="0" applyBorder="0" applyAlignment="0" applyProtection="0"/>
    <xf numFmtId="0" fontId="13" fillId="39" borderId="0" applyNumberFormat="0" applyBorder="0" applyAlignment="0" applyProtection="0"/>
    <xf numFmtId="0" fontId="13" fillId="12" borderId="0" applyNumberFormat="0" applyBorder="0" applyAlignment="0" applyProtection="0"/>
    <xf numFmtId="0" fontId="13" fillId="3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3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9" borderId="0" applyNumberFormat="0" applyBorder="0" applyAlignment="0" applyProtection="0"/>
    <xf numFmtId="0" fontId="13" fillId="24" borderId="0" applyNumberFormat="0" applyBorder="0" applyAlignment="0" applyProtection="0"/>
    <xf numFmtId="0" fontId="13" fillId="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10" borderId="0" applyNumberFormat="0" applyBorder="0" applyAlignment="0" applyProtection="0"/>
    <xf numFmtId="0" fontId="13" fillId="22" borderId="0" applyNumberFormat="0" applyBorder="0" applyAlignment="0" applyProtection="0"/>
    <xf numFmtId="0" fontId="13" fillId="39" borderId="0" applyNumberFormat="0" applyBorder="0" applyAlignment="0" applyProtection="0"/>
    <xf numFmtId="0" fontId="13" fillId="13"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40" borderId="0">
      <alignment/>
      <protection/>
    </xf>
    <xf numFmtId="0" fontId="13" fillId="40" borderId="0">
      <alignment/>
      <protection/>
    </xf>
    <xf numFmtId="0" fontId="13" fillId="13" borderId="0" applyNumberFormat="0" applyBorder="0" applyAlignment="0" applyProtection="0"/>
    <xf numFmtId="0" fontId="13" fillId="13" borderId="0" applyNumberFormat="0" applyBorder="0" applyAlignment="0" applyProtection="0"/>
    <xf numFmtId="0" fontId="13" fillId="31" borderId="0">
      <alignment/>
      <protection/>
    </xf>
    <xf numFmtId="0" fontId="13" fillId="31" borderId="0">
      <alignment/>
      <protection/>
    </xf>
    <xf numFmtId="0" fontId="13" fillId="26" borderId="0" applyNumberFormat="0" applyBorder="0" applyAlignment="0" applyProtection="0"/>
    <xf numFmtId="0" fontId="13" fillId="26" borderId="0" applyNumberFormat="0" applyBorder="0" applyAlignment="0" applyProtection="0"/>
    <xf numFmtId="0" fontId="13" fillId="32" borderId="0">
      <alignment/>
      <protection/>
    </xf>
    <xf numFmtId="0" fontId="13" fillId="32" borderId="0">
      <alignment/>
      <protection/>
    </xf>
    <xf numFmtId="0" fontId="13" fillId="24" borderId="0" applyNumberFormat="0" applyBorder="0" applyAlignment="0" applyProtection="0"/>
    <xf numFmtId="0" fontId="13" fillId="24" borderId="0" applyNumberFormat="0" applyBorder="0" applyAlignment="0" applyProtection="0"/>
    <xf numFmtId="0" fontId="13" fillId="25" borderId="0">
      <alignment/>
      <protection/>
    </xf>
    <xf numFmtId="0" fontId="13" fillId="25" borderId="0">
      <alignment/>
      <protection/>
    </xf>
    <xf numFmtId="0" fontId="13" fillId="34" borderId="0" applyNumberFormat="0" applyBorder="0" applyAlignment="0" applyProtection="0"/>
    <xf numFmtId="0" fontId="13" fillId="34" borderId="0" applyNumberFormat="0" applyBorder="0" applyAlignment="0" applyProtection="0"/>
    <xf numFmtId="0" fontId="13" fillId="35" borderId="0">
      <alignment/>
      <protection/>
    </xf>
    <xf numFmtId="0" fontId="13" fillId="35" borderId="0">
      <alignment/>
      <protection/>
    </xf>
    <xf numFmtId="0" fontId="13" fillId="39" borderId="0" applyNumberFormat="0" applyBorder="0" applyAlignment="0" applyProtection="0"/>
    <xf numFmtId="0" fontId="13" fillId="39" borderId="0" applyNumberFormat="0" applyBorder="0" applyAlignment="0" applyProtection="0"/>
    <xf numFmtId="0" fontId="13" fillId="41" borderId="0">
      <alignment/>
      <protection/>
    </xf>
    <xf numFmtId="0" fontId="13" fillId="41" borderId="0">
      <alignment/>
      <protection/>
    </xf>
    <xf numFmtId="186" fontId="2" fillId="0" borderId="0" applyFont="0" applyFill="0" applyBorder="0" applyAlignment="0" applyProtection="0"/>
    <xf numFmtId="187" fontId="2" fillId="0" borderId="0" applyFont="0" applyFill="0" applyBorder="0" applyAlignment="0" applyProtection="0"/>
    <xf numFmtId="0" fontId="73" fillId="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24" borderId="0" applyNumberFormat="0" applyBorder="0" applyAlignment="0" applyProtection="0"/>
    <xf numFmtId="0" fontId="73" fillId="44" borderId="0" applyNumberFormat="0" applyBorder="0" applyAlignment="0" applyProtection="0"/>
    <xf numFmtId="0" fontId="73" fillId="36" borderId="0" applyNumberFormat="0" applyBorder="0" applyAlignment="0" applyProtection="0"/>
    <xf numFmtId="0" fontId="14" fillId="28" borderId="1" applyNumberFormat="0" applyAlignment="0" applyProtection="0"/>
    <xf numFmtId="0" fontId="14" fillId="28" borderId="1" applyNumberFormat="0" applyAlignment="0" applyProtection="0"/>
    <xf numFmtId="0" fontId="14" fillId="45" borderId="1">
      <alignment/>
      <protection/>
    </xf>
    <xf numFmtId="0" fontId="14" fillId="45" borderId="1">
      <alignment/>
      <protection/>
    </xf>
    <xf numFmtId="0" fontId="28" fillId="7"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lignment/>
      <protection/>
    </xf>
    <xf numFmtId="0" fontId="15" fillId="0" borderId="0">
      <alignment/>
      <protection/>
    </xf>
    <xf numFmtId="0" fontId="74" fillId="28" borderId="2" applyNumberFormat="0" applyAlignment="0" applyProtection="0"/>
    <xf numFmtId="0" fontId="26" fillId="46" borderId="3"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2" fontId="3" fillId="0" borderId="0" applyFill="0" applyBorder="0" applyAlignment="0" applyProtection="0"/>
    <xf numFmtId="174" fontId="9" fillId="0" borderId="0" applyFill="0" applyBorder="0" applyAlignment="0" applyProtection="0"/>
    <xf numFmtId="178" fontId="23" fillId="0" borderId="0">
      <alignment/>
      <protection/>
    </xf>
    <xf numFmtId="43" fontId="3" fillId="0" borderId="0" applyFont="0" applyFill="0" applyBorder="0" applyAlignment="0" applyProtection="0"/>
    <xf numFmtId="178" fontId="23" fillId="0" borderId="0">
      <alignment/>
      <protection/>
    </xf>
    <xf numFmtId="43"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80" fontId="1" fillId="0" borderId="0" applyFill="0" applyBorder="0" applyAlignment="0" applyProtection="0"/>
    <xf numFmtId="179" fontId="23" fillId="0" borderId="0">
      <alignment/>
      <protection/>
    </xf>
    <xf numFmtId="169" fontId="3" fillId="0" borderId="0" applyFont="0" applyFill="0" applyBorder="0" applyAlignment="0" applyProtection="0"/>
    <xf numFmtId="169"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77" fontId="3" fillId="0" borderId="0" applyFill="0" applyBorder="0" applyAlignment="0" applyProtection="0"/>
    <xf numFmtId="181" fontId="36" fillId="0" borderId="0">
      <alignment/>
      <protection/>
    </xf>
    <xf numFmtId="182" fontId="23" fillId="0" borderId="0">
      <alignment/>
      <protection/>
    </xf>
    <xf numFmtId="182" fontId="23" fillId="0" borderId="0">
      <alignment/>
      <protection/>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8" fontId="41" fillId="0" borderId="0">
      <alignment/>
      <protection locked="0"/>
    </xf>
    <xf numFmtId="165" fontId="3" fillId="0" borderId="0" applyFont="0" applyFill="0" applyBorder="0" applyAlignment="0" applyProtection="0"/>
    <xf numFmtId="4" fontId="6" fillId="0" borderId="0" applyFont="0" applyFill="0" applyBorder="0" applyAlignment="0" applyProtection="0"/>
    <xf numFmtId="0" fontId="42" fillId="0" borderId="0" applyNumberFormat="0">
      <alignment/>
      <protection/>
    </xf>
    <xf numFmtId="0" fontId="3" fillId="0" borderId="0">
      <alignment/>
      <protection/>
    </xf>
    <xf numFmtId="183" fontId="36" fillId="0" borderId="0">
      <alignment/>
      <protection/>
    </xf>
    <xf numFmtId="183" fontId="23" fillId="0" borderId="0">
      <alignment/>
      <protection/>
    </xf>
    <xf numFmtId="0" fontId="1" fillId="0" borderId="0">
      <alignment/>
      <protection/>
    </xf>
    <xf numFmtId="0" fontId="1" fillId="0" borderId="0">
      <alignment/>
      <protection/>
    </xf>
    <xf numFmtId="0" fontId="25" fillId="0" borderId="0" applyNumberFormat="0" applyFill="0" applyBorder="0" applyAlignment="0" applyProtection="0"/>
    <xf numFmtId="189" fontId="41" fillId="0" borderId="0">
      <alignment/>
      <protection locked="0"/>
    </xf>
    <xf numFmtId="0" fontId="11" fillId="0" borderId="0" applyNumberFormat="0" applyFill="0" applyBorder="0" applyAlignment="0" applyProtection="0"/>
    <xf numFmtId="0" fontId="20" fillId="8" borderId="0" applyNumberFormat="0" applyBorder="0" applyAlignment="0" applyProtection="0"/>
    <xf numFmtId="0" fontId="37" fillId="0" borderId="0">
      <alignment horizontal="center"/>
      <protection/>
    </xf>
    <xf numFmtId="0" fontId="29" fillId="0" borderId="4" applyNumberFormat="0" applyFill="0" applyAlignment="0" applyProtection="0"/>
    <xf numFmtId="183" fontId="37" fillId="0" borderId="0">
      <alignment horizontal="center"/>
      <protection/>
    </xf>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7" fillId="0" borderId="0">
      <alignment horizontal="center" textRotation="90"/>
      <protection/>
    </xf>
    <xf numFmtId="183" fontId="37" fillId="0" borderId="0">
      <alignment horizontal="center" textRotation="90"/>
      <protection/>
    </xf>
    <xf numFmtId="190" fontId="43" fillId="0" borderId="0">
      <alignment/>
      <protection locked="0"/>
    </xf>
    <xf numFmtId="190" fontId="43" fillId="0" borderId="0">
      <alignment/>
      <protection locked="0"/>
    </xf>
    <xf numFmtId="0" fontId="44" fillId="47" borderId="0">
      <alignment/>
      <protection/>
    </xf>
    <xf numFmtId="0" fontId="45" fillId="1" borderId="0">
      <alignment/>
      <protection/>
    </xf>
    <xf numFmtId="0" fontId="46" fillId="0" borderId="0">
      <alignment/>
      <protection/>
    </xf>
    <xf numFmtId="0" fontId="1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lignment/>
      <protection/>
    </xf>
    <xf numFmtId="0" fontId="16" fillId="0" borderId="0">
      <alignment/>
      <protection/>
    </xf>
    <xf numFmtId="0" fontId="17" fillId="11" borderId="1" applyNumberFormat="0" applyAlignment="0" applyProtection="0"/>
    <xf numFmtId="0" fontId="17" fillId="11" borderId="1" applyNumberFormat="0" applyAlignment="0" applyProtection="0"/>
    <xf numFmtId="0" fontId="17" fillId="21" borderId="1">
      <alignment/>
      <protection/>
    </xf>
    <xf numFmtId="0" fontId="17" fillId="21" borderId="1">
      <alignment/>
      <protection/>
    </xf>
    <xf numFmtId="0" fontId="75" fillId="48" borderId="2" applyNumberFormat="0" applyAlignment="0" applyProtection="0"/>
    <xf numFmtId="0" fontId="13" fillId="2" borderId="0" applyNumberFormat="0" applyBorder="0" applyAlignment="0" applyProtection="0"/>
    <xf numFmtId="0" fontId="13" fillId="4" borderId="0" applyNumberFormat="0" applyBorder="0" applyAlignment="0" applyProtection="0"/>
    <xf numFmtId="0" fontId="13" fillId="22" borderId="0" applyNumberFormat="0" applyBorder="0" applyAlignment="0" applyProtection="0"/>
    <xf numFmtId="0" fontId="13" fillId="24" borderId="0" applyNumberFormat="0" applyBorder="0" applyAlignment="0" applyProtection="0"/>
    <xf numFmtId="0" fontId="13" fillId="34" borderId="0" applyNumberFormat="0" applyBorder="0" applyAlignment="0" applyProtection="0"/>
    <xf numFmtId="0" fontId="13" fillId="36"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2" borderId="0" applyNumberFormat="0" applyBorder="0" applyAlignment="0" applyProtection="0"/>
    <xf numFmtId="0" fontId="13" fillId="24" borderId="0" applyNumberFormat="0" applyBorder="0" applyAlignment="0" applyProtection="0"/>
    <xf numFmtId="0" fontId="13" fillId="34" borderId="0" applyNumberFormat="0" applyBorder="0" applyAlignment="0" applyProtection="0"/>
    <xf numFmtId="0" fontId="13" fillId="36" borderId="0" applyNumberFormat="0" applyBorder="0" applyAlignment="0" applyProtection="0"/>
    <xf numFmtId="0" fontId="18" fillId="28" borderId="7" applyNumberFormat="0" applyAlignment="0" applyProtection="0"/>
    <xf numFmtId="0" fontId="18" fillId="28" borderId="7" applyNumberFormat="0" applyAlignment="0" applyProtection="0"/>
    <xf numFmtId="0" fontId="18" fillId="45" borderId="7">
      <alignment/>
      <protection/>
    </xf>
    <xf numFmtId="0" fontId="18" fillId="45" borderId="7">
      <alignment/>
      <protection/>
    </xf>
    <xf numFmtId="0" fontId="2" fillId="0" borderId="0">
      <alignment/>
      <protection/>
    </xf>
    <xf numFmtId="0" fontId="19" fillId="0" borderId="8" applyNumberFormat="0" applyFill="0" applyAlignment="0" applyProtection="0"/>
    <xf numFmtId="0" fontId="19" fillId="0" borderId="8" applyNumberFormat="0" applyFill="0" applyAlignment="0" applyProtection="0"/>
    <xf numFmtId="0" fontId="19" fillId="0" borderId="8">
      <alignment/>
      <protection/>
    </xf>
    <xf numFmtId="0" fontId="19" fillId="0" borderId="8">
      <alignment/>
      <protection/>
    </xf>
    <xf numFmtId="0" fontId="20" fillId="8" borderId="0" applyNumberFormat="0" applyBorder="0" applyAlignment="0" applyProtection="0"/>
    <xf numFmtId="0" fontId="20" fillId="18" borderId="0">
      <alignment/>
      <protection/>
    </xf>
    <xf numFmtId="0" fontId="20" fillId="18" borderId="0">
      <alignment/>
      <protection/>
    </xf>
    <xf numFmtId="0" fontId="27" fillId="0" borderId="9" applyNumberFormat="0" applyFill="0" applyAlignment="0" applyProtection="0"/>
    <xf numFmtId="0" fontId="21" fillId="29" borderId="0" applyNumberFormat="0" applyBorder="0" applyAlignment="0" applyProtection="0"/>
    <xf numFmtId="0" fontId="21" fillId="29" borderId="0" applyNumberFormat="0" applyBorder="0" applyAlignment="0" applyProtection="0"/>
    <xf numFmtId="0" fontId="21" fillId="49" borderId="0">
      <alignment/>
      <protection/>
    </xf>
    <xf numFmtId="0" fontId="21" fillId="49" borderId="0">
      <alignment/>
      <protection/>
    </xf>
    <xf numFmtId="0" fontId="76" fillId="50" borderId="0" applyNumberFormat="0" applyBorder="0" applyAlignment="0" applyProtection="0"/>
    <xf numFmtId="0" fontId="22"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vertical="center" wrapText="1"/>
      <protection/>
    </xf>
    <xf numFmtId="0" fontId="3" fillId="0" borderId="0">
      <alignment/>
      <protection/>
    </xf>
    <xf numFmtId="0" fontId="8" fillId="0" borderId="0">
      <alignment/>
      <protection/>
    </xf>
    <xf numFmtId="0" fontId="3" fillId="0" borderId="0">
      <alignment/>
      <protection/>
    </xf>
    <xf numFmtId="183" fontId="36" fillId="0" borderId="0">
      <alignment/>
      <protection/>
    </xf>
    <xf numFmtId="0" fontId="1" fillId="0" borderId="0">
      <alignment/>
      <protection/>
    </xf>
    <xf numFmtId="183" fontId="1" fillId="0" borderId="0">
      <alignment/>
      <protection/>
    </xf>
    <xf numFmtId="183" fontId="1" fillId="0" borderId="0">
      <alignment/>
      <protection/>
    </xf>
    <xf numFmtId="0" fontId="1" fillId="0" borderId="0">
      <alignment/>
      <protection/>
    </xf>
    <xf numFmtId="0" fontId="3" fillId="0" borderId="0">
      <alignment/>
      <protection/>
    </xf>
    <xf numFmtId="0" fontId="3" fillId="0" borderId="0">
      <alignment/>
      <protection/>
    </xf>
    <xf numFmtId="183" fontId="23" fillId="0" borderId="0">
      <alignment/>
      <protection/>
    </xf>
    <xf numFmtId="183" fontId="2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wrapText="1"/>
      <protection/>
    </xf>
    <xf numFmtId="0" fontId="1" fillId="0" borderId="0">
      <alignment/>
      <protection/>
    </xf>
    <xf numFmtId="0" fontId="3" fillId="0" borderId="0">
      <alignment/>
      <protection/>
    </xf>
    <xf numFmtId="183" fontId="36" fillId="0" borderId="0">
      <alignment vertical="center"/>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183" fontId="38" fillId="0" borderId="0">
      <alignment/>
      <protection/>
    </xf>
    <xf numFmtId="183" fontId="38"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183" fontId="36"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183" fontId="36" fillId="0" borderId="0">
      <alignment/>
      <protection/>
    </xf>
    <xf numFmtId="183" fontId="36" fillId="0" borderId="0">
      <alignment/>
      <protection/>
    </xf>
    <xf numFmtId="0" fontId="47" fillId="0" borderId="0">
      <alignment/>
      <protection/>
    </xf>
    <xf numFmtId="0" fontId="3" fillId="0" borderId="0">
      <alignment/>
      <protection/>
    </xf>
    <xf numFmtId="0" fontId="3" fillId="0" borderId="0">
      <alignment/>
      <protection/>
    </xf>
    <xf numFmtId="0" fontId="2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51" borderId="0">
      <alignment vertical="center" wrapText="1"/>
      <protection/>
    </xf>
    <xf numFmtId="0" fontId="3" fillId="0" borderId="0">
      <alignment vertical="center" wrapText="1"/>
      <protection/>
    </xf>
    <xf numFmtId="0" fontId="6" fillId="0" borderId="0">
      <alignment/>
      <protection/>
    </xf>
    <xf numFmtId="0" fontId="3"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2" fillId="0" borderId="0">
      <alignment/>
      <protection/>
    </xf>
    <xf numFmtId="0" fontId="3" fillId="0" borderId="0">
      <alignment vertical="center"/>
      <protection/>
    </xf>
    <xf numFmtId="0" fontId="3"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lignment/>
      <protection/>
    </xf>
    <xf numFmtId="0" fontId="10" fillId="0" borderId="0">
      <alignment/>
      <protection/>
    </xf>
    <xf numFmtId="0" fontId="3" fillId="15" borderId="10" applyNumberFormat="0" applyFont="0" applyAlignment="0" applyProtection="0"/>
    <xf numFmtId="0" fontId="3" fillId="15" borderId="10" applyNumberFormat="0" applyFont="0" applyAlignment="0" applyProtection="0"/>
    <xf numFmtId="0" fontId="77" fillId="28" borderId="11" applyNumberFormat="0" applyAlignment="0" applyProtection="0"/>
    <xf numFmtId="0" fontId="3"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25" fillId="0" borderId="0" applyNumberFormat="0" applyFill="0" applyBorder="0" applyAlignment="0" applyProtection="0"/>
    <xf numFmtId="0" fontId="25" fillId="0" borderId="0">
      <alignment/>
      <protection/>
    </xf>
    <xf numFmtId="0" fontId="25" fillId="0" borderId="0">
      <alignment/>
      <protection/>
    </xf>
    <xf numFmtId="0" fontId="26" fillId="46" borderId="3" applyNumberFormat="0" applyAlignment="0" applyProtection="0"/>
    <xf numFmtId="0" fontId="26" fillId="52" borderId="3">
      <alignment/>
      <protection/>
    </xf>
    <xf numFmtId="0" fontId="26" fillId="52" borderId="3">
      <alignment/>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15" borderId="10" applyNumberFormat="0" applyFont="0" applyAlignment="0" applyProtection="0"/>
    <xf numFmtId="0" fontId="23" fillId="53" borderId="10">
      <alignment/>
      <protection/>
    </xf>
    <xf numFmtId="0" fontId="23" fillId="53" borderId="10">
      <alignment/>
      <protection/>
    </xf>
    <xf numFmtId="0" fontId="48" fillId="0" borderId="0">
      <alignment/>
      <protection/>
    </xf>
    <xf numFmtId="0" fontId="39" fillId="0" borderId="0">
      <alignment/>
      <protection/>
    </xf>
    <xf numFmtId="183" fontId="39" fillId="0" borderId="0">
      <alignment/>
      <protection/>
    </xf>
    <xf numFmtId="184" fontId="39" fillId="0" borderId="0">
      <alignment/>
      <protection/>
    </xf>
    <xf numFmtId="185" fontId="39" fillId="0" borderId="0">
      <alignment/>
      <protection/>
    </xf>
    <xf numFmtId="185" fontId="39" fillId="0" borderId="0">
      <alignment/>
      <protection/>
    </xf>
    <xf numFmtId="0" fontId="39" fillId="0" borderId="0">
      <alignment/>
      <protection/>
    </xf>
    <xf numFmtId="0" fontId="27" fillId="0" borderId="9" applyNumberFormat="0" applyFill="0" applyAlignment="0" applyProtection="0"/>
    <xf numFmtId="0" fontId="27" fillId="0" borderId="9" applyNumberFormat="0" applyFill="0" applyAlignment="0" applyProtection="0"/>
    <xf numFmtId="0" fontId="27" fillId="0" borderId="9">
      <alignment/>
      <protection/>
    </xf>
    <xf numFmtId="0" fontId="27" fillId="0" borderId="9">
      <alignment/>
      <protection/>
    </xf>
    <xf numFmtId="0" fontId="28" fillId="7" borderId="0" applyNumberFormat="0" applyBorder="0" applyAlignment="0" applyProtection="0"/>
    <xf numFmtId="0" fontId="28" fillId="17" borderId="0">
      <alignment/>
      <protection/>
    </xf>
    <xf numFmtId="0" fontId="28" fillId="17"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3" fillId="0" borderId="0">
      <alignment/>
      <protection/>
    </xf>
    <xf numFmtId="183" fontId="40"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pplyNumberFormat="0" applyFill="0" applyBorder="0" applyAlignment="0" applyProtection="0"/>
    <xf numFmtId="0" fontId="78" fillId="0" borderId="8" applyNumberFormat="0" applyFill="0" applyAlignment="0" applyProtection="0"/>
    <xf numFmtId="191" fontId="49" fillId="0" borderId="0">
      <alignment horizontal="left"/>
      <protection/>
    </xf>
    <xf numFmtId="0" fontId="29" fillId="0" borderId="4" applyNumberFormat="0" applyFill="0" applyAlignment="0" applyProtection="0"/>
    <xf numFmtId="0" fontId="29" fillId="0" borderId="12">
      <alignment/>
      <protection/>
    </xf>
    <xf numFmtId="0" fontId="29" fillId="0" borderId="12">
      <alignment/>
      <protection/>
    </xf>
    <xf numFmtId="0" fontId="30" fillId="0" borderId="5" applyNumberFormat="0" applyFill="0" applyAlignment="0" applyProtection="0"/>
    <xf numFmtId="0" fontId="30" fillId="0" borderId="13">
      <alignment/>
      <protection/>
    </xf>
    <xf numFmtId="0" fontId="30" fillId="0" borderId="13">
      <alignment/>
      <protection/>
    </xf>
    <xf numFmtId="0" fontId="31" fillId="0" borderId="6" applyNumberFormat="0" applyFill="0" applyAlignment="0" applyProtection="0"/>
    <xf numFmtId="0" fontId="31" fillId="0" borderId="14">
      <alignment/>
      <protection/>
    </xf>
    <xf numFmtId="0" fontId="31" fillId="0" borderId="14">
      <alignment/>
      <protection/>
    </xf>
    <xf numFmtId="0" fontId="31" fillId="0" borderId="0" applyNumberFormat="0" applyFill="0" applyBorder="0" applyAlignment="0" applyProtection="0"/>
    <xf numFmtId="0" fontId="31" fillId="0" borderId="0">
      <alignment/>
      <protection/>
    </xf>
    <xf numFmtId="0" fontId="31" fillId="0" borderId="0">
      <alignment/>
      <protection/>
    </xf>
    <xf numFmtId="164" fontId="3" fillId="0" borderId="0" applyFont="0" applyFill="0" applyBorder="0" applyAlignment="0" applyProtection="0"/>
    <xf numFmtId="41" fontId="3" fillId="0" borderId="0" applyFont="0" applyFill="0" applyBorder="0" applyAlignment="0" applyProtection="0"/>
    <xf numFmtId="0" fontId="15" fillId="0" borderId="0" applyNumberFormat="0" applyFill="0" applyBorder="0" applyAlignment="0" applyProtection="0"/>
    <xf numFmtId="0" fontId="13" fillId="34" borderId="0" applyNumberFormat="0" applyBorder="0" applyAlignment="0" applyProtection="0"/>
    <xf numFmtId="0" fontId="13" fillId="36" borderId="0" applyNumberFormat="0" applyBorder="0" applyAlignment="0" applyProtection="0"/>
    <xf numFmtId="0" fontId="13" fillId="46" borderId="0" applyNumberFormat="0" applyBorder="0" applyAlignment="0" applyProtection="0"/>
    <xf numFmtId="0" fontId="13" fillId="27" borderId="0" applyNumberFormat="0" applyBorder="0" applyAlignment="0" applyProtection="0"/>
    <xf numFmtId="0" fontId="13" fillId="2" borderId="0" applyNumberFormat="0" applyBorder="0" applyAlignment="0" applyProtection="0"/>
    <xf numFmtId="0" fontId="13" fillId="22" borderId="0" applyNumberFormat="0" applyBorder="0" applyAlignment="0" applyProtection="0"/>
    <xf numFmtId="0" fontId="17" fillId="11" borderId="1" applyNumberFormat="0" applyAlignment="0" applyProtection="0"/>
    <xf numFmtId="0" fontId="18" fillId="28" borderId="7" applyNumberFormat="0" applyAlignment="0" applyProtection="0"/>
    <xf numFmtId="0" fontId="14" fillId="28" borderId="1" applyNumberFormat="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19" fillId="0" borderId="18" applyNumberFormat="0" applyFill="0" applyAlignment="0" applyProtection="0"/>
    <xf numFmtId="0" fontId="26" fillId="46" borderId="3" applyNumberFormat="0" applyAlignment="0" applyProtection="0"/>
    <xf numFmtId="0" fontId="35" fillId="0" borderId="0" applyNumberFormat="0" applyFill="0" applyBorder="0" applyAlignment="0" applyProtection="0"/>
    <xf numFmtId="0" fontId="21" fillId="29" borderId="0" applyNumberFormat="0" applyBorder="0" applyAlignment="0" applyProtection="0"/>
    <xf numFmtId="0" fontId="5" fillId="0" borderId="0">
      <alignment/>
      <protection/>
    </xf>
    <xf numFmtId="0" fontId="1" fillId="0" borderId="0">
      <alignment/>
      <protection/>
    </xf>
    <xf numFmtId="0" fontId="1" fillId="0" borderId="0">
      <alignment/>
      <protection/>
    </xf>
    <xf numFmtId="0" fontId="3" fillId="0" borderId="0">
      <alignment/>
      <protection/>
    </xf>
    <xf numFmtId="0" fontId="28" fillId="7" borderId="0" applyNumberFormat="0" applyBorder="0" applyAlignment="0" applyProtection="0"/>
    <xf numFmtId="0" fontId="25" fillId="0" borderId="0" applyNumberFormat="0" applyFill="0" applyBorder="0" applyAlignment="0" applyProtection="0"/>
    <xf numFmtId="0" fontId="3" fillId="15" borderId="10" applyNumberFormat="0" applyFont="0" applyAlignment="0" applyProtection="0"/>
    <xf numFmtId="0" fontId="27" fillId="0" borderId="9" applyNumberFormat="0" applyFill="0" applyAlignment="0" applyProtection="0"/>
    <xf numFmtId="0" fontId="6" fillId="0" borderId="0">
      <alignment/>
      <protection/>
    </xf>
    <xf numFmtId="0" fontId="6" fillId="0" borderId="0">
      <alignment/>
      <protection/>
    </xf>
    <xf numFmtId="0" fontId="15" fillId="0" borderId="0" applyNumberFormat="0" applyFill="0" applyBorder="0" applyAlignment="0" applyProtection="0"/>
    <xf numFmtId="172" fontId="3" fillId="0" borderId="0" applyFill="0" applyBorder="0" applyAlignment="0" applyProtection="0"/>
    <xf numFmtId="0" fontId="20" fillId="8" borderId="0" applyNumberFormat="0" applyBorder="0" applyAlignment="0" applyProtection="0"/>
  </cellStyleXfs>
  <cellXfs count="562">
    <xf numFmtId="0" fontId="0" fillId="0" borderId="0" xfId="0" applyFont="1" applyAlignment="1">
      <alignment/>
    </xf>
    <xf numFmtId="0" fontId="3" fillId="0" borderId="0" xfId="386" applyFont="1" applyBorder="1">
      <alignment/>
      <protection/>
    </xf>
    <xf numFmtId="0" fontId="4" fillId="0" borderId="0" xfId="0" applyFont="1" applyFill="1" applyBorder="1" applyAlignment="1">
      <alignment/>
    </xf>
    <xf numFmtId="0" fontId="5" fillId="0" borderId="0" xfId="0" applyFont="1" applyFill="1" applyAlignment="1">
      <alignment/>
    </xf>
    <xf numFmtId="49" fontId="7" fillId="0" borderId="19" xfId="0" applyNumberFormat="1" applyFont="1" applyFill="1" applyBorder="1" applyAlignment="1">
      <alignment horizontal="center" vertical="center" wrapText="1"/>
    </xf>
    <xf numFmtId="2" fontId="7" fillId="0" borderId="19" xfId="0" applyNumberFormat="1" applyFont="1" applyFill="1" applyBorder="1" applyAlignment="1">
      <alignment horizontal="center" vertical="center" wrapText="1"/>
    </xf>
    <xf numFmtId="2" fontId="3" fillId="0" borderId="19" xfId="0" applyNumberFormat="1" applyFont="1" applyFill="1" applyBorder="1" applyAlignment="1">
      <alignment horizontal="center" vertical="center"/>
    </xf>
    <xf numFmtId="2" fontId="3" fillId="0" borderId="19" xfId="0" applyNumberFormat="1" applyFont="1" applyFill="1" applyBorder="1" applyAlignment="1">
      <alignment horizontal="center" vertical="center" wrapText="1"/>
    </xf>
    <xf numFmtId="2" fontId="3" fillId="0" borderId="19" xfId="0" applyNumberFormat="1" applyFont="1" applyFill="1" applyBorder="1" applyAlignment="1">
      <alignment horizontal="left" vertical="center" wrapText="1"/>
    </xf>
    <xf numFmtId="0" fontId="3" fillId="0" borderId="0" xfId="0" applyFont="1" applyFill="1" applyBorder="1" applyAlignment="1">
      <alignment/>
    </xf>
    <xf numFmtId="0" fontId="3" fillId="0" borderId="19" xfId="0" applyFont="1" applyFill="1" applyBorder="1" applyAlignment="1">
      <alignment horizontal="center" vertical="center" wrapText="1"/>
    </xf>
    <xf numFmtId="0" fontId="3" fillId="0" borderId="19" xfId="0" applyFont="1" applyFill="1" applyBorder="1" applyAlignment="1">
      <alignment wrapText="1"/>
    </xf>
    <xf numFmtId="0" fontId="3" fillId="0" borderId="19" xfId="0" applyFont="1" applyFill="1" applyBorder="1" applyAlignment="1">
      <alignment horizontal="center" vertical="center"/>
    </xf>
    <xf numFmtId="0" fontId="3" fillId="0" borderId="19" xfId="429" applyFont="1" applyFill="1" applyBorder="1" applyAlignment="1">
      <alignment horizontal="center" vertical="center" wrapText="1"/>
      <protection/>
    </xf>
    <xf numFmtId="0" fontId="3" fillId="0" borderId="19" xfId="429" applyFont="1" applyFill="1" applyBorder="1" applyAlignment="1">
      <alignment vertical="center" wrapText="1" shrinkToFit="1"/>
      <protection/>
    </xf>
    <xf numFmtId="0" fontId="3" fillId="0" borderId="19" xfId="429" applyFont="1" applyFill="1" applyBorder="1" applyAlignment="1">
      <alignment horizontal="center" vertical="center" wrapText="1" shrinkToFit="1"/>
      <protection/>
    </xf>
    <xf numFmtId="0" fontId="3" fillId="0" borderId="19" xfId="0" applyFont="1" applyFill="1" applyBorder="1" applyAlignment="1">
      <alignment horizontal="left" vertical="center" wrapText="1"/>
    </xf>
    <xf numFmtId="0" fontId="3" fillId="0" borderId="19" xfId="429" applyFont="1" applyFill="1" applyBorder="1" applyAlignment="1">
      <alignment horizontal="left" vertical="center" wrapText="1" shrinkToFit="1"/>
      <protection/>
    </xf>
    <xf numFmtId="0" fontId="7" fillId="0" borderId="19" xfId="0" applyFont="1" applyFill="1" applyBorder="1" applyAlignment="1">
      <alignment horizontal="center" vertical="center" wrapText="1"/>
    </xf>
    <xf numFmtId="49" fontId="3" fillId="0" borderId="19" xfId="0" applyNumberFormat="1" applyFont="1" applyFill="1" applyBorder="1" applyAlignment="1">
      <alignment horizontal="center" vertical="center"/>
    </xf>
    <xf numFmtId="2" fontId="7" fillId="0" borderId="19" xfId="0" applyNumberFormat="1" applyFont="1" applyFill="1" applyBorder="1" applyAlignment="1">
      <alignment/>
    </xf>
    <xf numFmtId="0" fontId="7" fillId="0" borderId="19" xfId="429" applyFont="1" applyFill="1" applyBorder="1" applyAlignment="1">
      <alignment horizontal="center" vertical="center" wrapText="1" shrinkToFit="1"/>
      <protection/>
    </xf>
    <xf numFmtId="0" fontId="3" fillId="0" borderId="19" xfId="0" applyFont="1" applyFill="1" applyBorder="1" applyAlignment="1">
      <alignment vertical="center" wrapText="1"/>
    </xf>
    <xf numFmtId="0" fontId="3" fillId="54" borderId="19" xfId="0" applyFont="1" applyFill="1" applyBorder="1" applyAlignment="1">
      <alignment horizontal="center" vertical="center" wrapText="1"/>
    </xf>
    <xf numFmtId="2" fontId="3" fillId="54" borderId="19" xfId="0" applyNumberFormat="1" applyFont="1" applyFill="1" applyBorder="1" applyAlignment="1">
      <alignment horizontal="center" vertical="center" wrapText="1"/>
    </xf>
    <xf numFmtId="0" fontId="5" fillId="54" borderId="0" xfId="0" applyFont="1" applyFill="1" applyAlignment="1">
      <alignment/>
    </xf>
    <xf numFmtId="0" fontId="3" fillId="0" borderId="0" xfId="0" applyFont="1" applyFill="1" applyBorder="1" applyAlignment="1">
      <alignment vertical="center"/>
    </xf>
    <xf numFmtId="0" fontId="3" fillId="54" borderId="19" xfId="0" applyFont="1" applyFill="1" applyBorder="1" applyAlignment="1" quotePrefix="1">
      <alignment horizontal="center" vertical="center"/>
    </xf>
    <xf numFmtId="0" fontId="3" fillId="54" borderId="19" xfId="429" applyFont="1" applyFill="1" applyBorder="1" applyAlignment="1">
      <alignment horizontal="center" vertical="center" wrapText="1"/>
      <protection/>
    </xf>
    <xf numFmtId="0" fontId="3" fillId="0" borderId="19" xfId="0" applyFont="1" applyFill="1" applyBorder="1" applyAlignment="1" quotePrefix="1">
      <alignment horizontal="center" vertical="center"/>
    </xf>
    <xf numFmtId="2" fontId="3" fillId="0" borderId="19" xfId="429" applyNumberFormat="1" applyFont="1" applyFill="1" applyBorder="1" applyAlignment="1">
      <alignment horizontal="center" vertical="center"/>
      <protection/>
    </xf>
    <xf numFmtId="0" fontId="3" fillId="0" borderId="19" xfId="0" applyFont="1" applyBorder="1" applyAlignment="1">
      <alignment horizontal="center"/>
    </xf>
    <xf numFmtId="0" fontId="3" fillId="0" borderId="19" xfId="377" applyFont="1" applyFill="1" applyBorder="1" applyAlignment="1">
      <alignment vertical="center" wrapText="1"/>
      <protection/>
    </xf>
    <xf numFmtId="0" fontId="3" fillId="0" borderId="19" xfId="388" applyFont="1" applyFill="1" applyBorder="1" applyAlignment="1">
      <alignment horizontal="center" vertical="center"/>
      <protection/>
    </xf>
    <xf numFmtId="0" fontId="3" fillId="0" borderId="19" xfId="0" applyFont="1" applyFill="1" applyBorder="1" applyAlignment="1">
      <alignment horizontal="center" vertical="center" wrapText="1"/>
    </xf>
    <xf numFmtId="49" fontId="3" fillId="54" borderId="19" xfId="0" applyNumberFormat="1" applyFont="1" applyFill="1" applyBorder="1" applyAlignment="1">
      <alignment horizontal="center"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429" applyFont="1" applyFill="1" applyBorder="1" applyAlignment="1">
      <alignment horizontal="center" vertical="center" wrapText="1" shrinkToFit="1"/>
      <protection/>
    </xf>
    <xf numFmtId="2" fontId="3" fillId="0" borderId="19" xfId="0" applyNumberFormat="1" applyFont="1" applyFill="1" applyBorder="1" applyAlignment="1">
      <alignment horizontal="center" vertical="center" wrapText="1"/>
    </xf>
    <xf numFmtId="0" fontId="3" fillId="0" borderId="19" xfId="429" applyFont="1" applyFill="1" applyBorder="1" applyAlignment="1">
      <alignment horizontal="left" vertical="center" wrapText="1" shrinkToFit="1"/>
      <protection/>
    </xf>
    <xf numFmtId="0" fontId="3" fillId="0" borderId="20" xfId="249" applyFont="1" applyFill="1" applyBorder="1" applyAlignment="1">
      <alignment horizontal="right" vertical="center" wrapText="1"/>
      <protection/>
    </xf>
    <xf numFmtId="0" fontId="3" fillId="54" borderId="19" xfId="0" applyFont="1" applyFill="1" applyBorder="1" applyAlignment="1">
      <alignment horizontal="left" vertical="center" wrapText="1"/>
    </xf>
    <xf numFmtId="0" fontId="3" fillId="54" borderId="0" xfId="0" applyFont="1" applyFill="1" applyBorder="1" applyAlignment="1">
      <alignment/>
    </xf>
    <xf numFmtId="0" fontId="3" fillId="54" borderId="19" xfId="0" applyFont="1" applyFill="1" applyBorder="1" applyAlignment="1">
      <alignment horizontal="center" vertical="center"/>
    </xf>
    <xf numFmtId="0" fontId="3" fillId="0" borderId="19" xfId="380" applyFont="1" applyFill="1" applyBorder="1" applyAlignment="1">
      <alignment horizontal="left" vertical="center" wrapText="1"/>
      <protection/>
    </xf>
    <xf numFmtId="0" fontId="3" fillId="0" borderId="19" xfId="380" applyFont="1" applyFill="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Fill="1" applyBorder="1" applyAlignment="1">
      <alignment horizontal="center" vertical="center"/>
    </xf>
    <xf numFmtId="0" fontId="3" fillId="55" borderId="20" xfId="0" applyFont="1" applyFill="1" applyBorder="1" applyAlignment="1">
      <alignment horizontal="center" vertical="center" wrapText="1" shrinkToFit="1"/>
    </xf>
    <xf numFmtId="0" fontId="3" fillId="55" borderId="20" xfId="0" applyFont="1" applyFill="1" applyBorder="1" applyAlignment="1">
      <alignment vertical="center" wrapText="1"/>
    </xf>
    <xf numFmtId="0" fontId="3" fillId="55" borderId="20" xfId="0" applyFont="1" applyFill="1" applyBorder="1" applyAlignment="1">
      <alignment horizontal="center" vertical="center"/>
    </xf>
    <xf numFmtId="49" fontId="3" fillId="0" borderId="19" xfId="0" applyNumberFormat="1" applyFont="1" applyFill="1" applyBorder="1" applyAlignment="1">
      <alignment horizontal="center" vertical="center" wrapText="1" shrinkToFit="1"/>
    </xf>
    <xf numFmtId="0" fontId="7" fillId="0" borderId="19" xfId="249" applyFont="1" applyFill="1" applyBorder="1" applyAlignment="1">
      <alignment horizontal="center" vertical="center" wrapText="1"/>
      <protection/>
    </xf>
    <xf numFmtId="1" fontId="7" fillId="0" borderId="19" xfId="249" applyNumberFormat="1" applyFont="1" applyFill="1" applyBorder="1" applyAlignment="1">
      <alignment horizontal="center" vertical="center" wrapText="1"/>
      <protection/>
    </xf>
    <xf numFmtId="0" fontId="3" fillId="55" borderId="21" xfId="249" applyFont="1" applyFill="1" applyBorder="1" applyAlignment="1">
      <alignment horizontal="left" vertical="center" wrapText="1"/>
      <protection/>
    </xf>
    <xf numFmtId="0" fontId="3" fillId="55" borderId="21" xfId="249" applyFont="1" applyFill="1" applyBorder="1" applyAlignment="1">
      <alignment horizontal="center" vertical="center" wrapText="1"/>
      <protection/>
    </xf>
    <xf numFmtId="1" fontId="3" fillId="55" borderId="21" xfId="249" applyNumberFormat="1" applyFont="1" applyFill="1" applyBorder="1" applyAlignment="1">
      <alignment horizontal="center" vertical="center" wrapText="1"/>
      <protection/>
    </xf>
    <xf numFmtId="0" fontId="3" fillId="55" borderId="20" xfId="249" applyFont="1" applyFill="1" applyBorder="1" applyAlignment="1">
      <alignment horizontal="left" vertical="center" wrapText="1"/>
      <protection/>
    </xf>
    <xf numFmtId="1" fontId="3" fillId="55" borderId="20" xfId="249" applyNumberFormat="1" applyFont="1" applyFill="1" applyBorder="1" applyAlignment="1">
      <alignment horizontal="center" vertical="center" wrapText="1"/>
      <protection/>
    </xf>
    <xf numFmtId="0" fontId="3" fillId="55" borderId="20" xfId="249" applyFont="1" applyFill="1" applyBorder="1" applyAlignment="1">
      <alignment horizontal="center" vertical="center" wrapText="1"/>
      <protection/>
    </xf>
    <xf numFmtId="0" fontId="3" fillId="55" borderId="20" xfId="249" applyFont="1" applyFill="1" applyBorder="1" applyAlignment="1">
      <alignment horizontal="right" vertical="center" wrapText="1"/>
      <protection/>
    </xf>
    <xf numFmtId="0" fontId="3" fillId="55" borderId="22" xfId="249" applyFont="1" applyFill="1" applyBorder="1" applyAlignment="1">
      <alignment horizontal="left" vertical="center" wrapText="1"/>
      <protection/>
    </xf>
    <xf numFmtId="0" fontId="3" fillId="55" borderId="22" xfId="249" applyFont="1" applyFill="1" applyBorder="1" applyAlignment="1">
      <alignment horizontal="center" vertical="center" wrapText="1"/>
      <protection/>
    </xf>
    <xf numFmtId="1" fontId="3" fillId="55" borderId="22" xfId="249" applyNumberFormat="1" applyFont="1" applyFill="1" applyBorder="1" applyAlignment="1">
      <alignment horizontal="center" vertical="center" wrapText="1"/>
      <protection/>
    </xf>
    <xf numFmtId="0" fontId="3" fillId="51" borderId="19" xfId="0" applyFont="1" applyFill="1" applyBorder="1" applyAlignment="1">
      <alignment horizontal="left" vertical="center" wrapText="1"/>
    </xf>
    <xf numFmtId="0" fontId="3" fillId="0" borderId="21" xfId="249" applyFont="1" applyFill="1" applyBorder="1" applyAlignment="1">
      <alignment horizontal="left" vertical="center" wrapText="1"/>
      <protection/>
    </xf>
    <xf numFmtId="0" fontId="3" fillId="0" borderId="21" xfId="249" applyFont="1" applyFill="1" applyBorder="1" applyAlignment="1">
      <alignment horizontal="center" vertical="center" wrapText="1"/>
      <protection/>
    </xf>
    <xf numFmtId="1" fontId="3" fillId="0" borderId="21" xfId="249" applyNumberFormat="1" applyFont="1" applyFill="1" applyBorder="1" applyAlignment="1">
      <alignment horizontal="center" vertical="center" wrapText="1"/>
      <protection/>
    </xf>
    <xf numFmtId="0" fontId="3" fillId="0" borderId="20" xfId="249" applyFont="1" applyFill="1" applyBorder="1" applyAlignment="1">
      <alignment horizontal="left" vertical="center" wrapText="1"/>
      <protection/>
    </xf>
    <xf numFmtId="1" fontId="3" fillId="0" borderId="20" xfId="249" applyNumberFormat="1" applyFont="1" applyFill="1" applyBorder="1" applyAlignment="1">
      <alignment horizontal="center" vertical="center" wrapText="1"/>
      <protection/>
    </xf>
    <xf numFmtId="0" fontId="3" fillId="0" borderId="20" xfId="249" applyFont="1" applyFill="1" applyBorder="1" applyAlignment="1">
      <alignment horizontal="center" vertical="center" wrapText="1"/>
      <protection/>
    </xf>
    <xf numFmtId="0" fontId="3" fillId="0" borderId="22" xfId="249" applyFont="1" applyFill="1" applyBorder="1" applyAlignment="1">
      <alignment horizontal="left" vertical="center" wrapText="1"/>
      <protection/>
    </xf>
    <xf numFmtId="0" fontId="3" fillId="0" borderId="22" xfId="249" applyFont="1" applyFill="1" applyBorder="1" applyAlignment="1">
      <alignment horizontal="center" vertical="center" wrapText="1"/>
      <protection/>
    </xf>
    <xf numFmtId="1" fontId="3" fillId="0" borderId="22" xfId="249" applyNumberFormat="1" applyFont="1" applyFill="1" applyBorder="1" applyAlignment="1">
      <alignment horizontal="center" vertical="center" wrapText="1"/>
      <protection/>
    </xf>
    <xf numFmtId="0" fontId="3" fillId="0" borderId="19" xfId="249" applyFont="1" applyFill="1" applyBorder="1" applyAlignment="1">
      <alignment horizontal="center" vertical="center" wrapText="1"/>
      <protection/>
    </xf>
    <xf numFmtId="1" fontId="3" fillId="0" borderId="19" xfId="249" applyNumberFormat="1" applyFont="1" applyFill="1" applyBorder="1" applyAlignment="1">
      <alignment horizontal="center" vertical="center" wrapText="1"/>
      <protection/>
    </xf>
    <xf numFmtId="0" fontId="7" fillId="0" borderId="19" xfId="249" applyFont="1" applyFill="1" applyBorder="1" applyAlignment="1">
      <alignment vertical="center" wrapText="1"/>
      <protection/>
    </xf>
    <xf numFmtId="1" fontId="51" fillId="0" borderId="19" xfId="249" applyNumberFormat="1" applyFont="1" applyFill="1" applyBorder="1" applyAlignment="1">
      <alignment horizontal="center" vertical="center" wrapText="1"/>
      <protection/>
    </xf>
    <xf numFmtId="49" fontId="3" fillId="0" borderId="21" xfId="249" applyNumberFormat="1" applyFont="1" applyFill="1" applyBorder="1" applyAlignment="1">
      <alignment horizontal="left" vertical="center" wrapText="1"/>
      <protection/>
    </xf>
    <xf numFmtId="0" fontId="3" fillId="0" borderId="21" xfId="249" applyNumberFormat="1" applyFont="1" applyFill="1" applyBorder="1" applyAlignment="1">
      <alignment horizontal="center" vertical="center"/>
      <protection/>
    </xf>
    <xf numFmtId="49" fontId="3" fillId="0" borderId="20" xfId="249" applyNumberFormat="1" applyFont="1" applyFill="1" applyBorder="1" applyAlignment="1">
      <alignment horizontal="left" vertical="center" wrapText="1"/>
      <protection/>
    </xf>
    <xf numFmtId="0" fontId="3" fillId="0" borderId="20" xfId="249" applyNumberFormat="1" applyFont="1" applyFill="1" applyBorder="1" applyAlignment="1">
      <alignment horizontal="center" vertical="center"/>
      <protection/>
    </xf>
    <xf numFmtId="0" fontId="3" fillId="0" borderId="20" xfId="249" applyFont="1" applyFill="1" applyBorder="1" applyAlignment="1">
      <alignment horizontal="left" vertical="center"/>
      <protection/>
    </xf>
    <xf numFmtId="0" fontId="3" fillId="55" borderId="19" xfId="249" applyFont="1" applyFill="1" applyBorder="1" applyAlignment="1">
      <alignment horizontal="left" vertical="center" wrapText="1"/>
      <protection/>
    </xf>
    <xf numFmtId="49" fontId="7" fillId="0" borderId="19" xfId="0" applyNumberFormat="1" applyFont="1" applyFill="1" applyBorder="1" applyAlignment="1">
      <alignment horizontal="center" vertical="center" wrapText="1" shrinkToFit="1"/>
    </xf>
    <xf numFmtId="0" fontId="3" fillId="0" borderId="19" xfId="249" applyFont="1" applyFill="1" applyBorder="1" applyAlignment="1">
      <alignment horizontal="left" vertical="center" wrapText="1"/>
      <protection/>
    </xf>
    <xf numFmtId="0" fontId="3" fillId="55" borderId="19" xfId="249" applyFont="1" applyFill="1" applyBorder="1" applyAlignment="1">
      <alignment horizontal="right" vertical="center" wrapText="1"/>
      <protection/>
    </xf>
    <xf numFmtId="0" fontId="3" fillId="55" borderId="19" xfId="249" applyFont="1" applyFill="1" applyBorder="1" applyAlignment="1">
      <alignment horizontal="center" vertical="center" wrapText="1"/>
      <protection/>
    </xf>
    <xf numFmtId="1" fontId="3" fillId="55" borderId="19" xfId="249" applyNumberFormat="1" applyFont="1" applyFill="1" applyBorder="1" applyAlignment="1">
      <alignment horizontal="center" vertical="center" wrapText="1"/>
      <protection/>
    </xf>
    <xf numFmtId="0" fontId="3" fillId="55" borderId="21" xfId="249" applyFont="1" applyFill="1" applyBorder="1" applyAlignment="1">
      <alignment horizontal="right" vertical="center" wrapText="1"/>
      <protection/>
    </xf>
    <xf numFmtId="0" fontId="3" fillId="55" borderId="22" xfId="249" applyFont="1" applyFill="1" applyBorder="1" applyAlignment="1">
      <alignment horizontal="right" vertical="center" wrapText="1"/>
      <protection/>
    </xf>
    <xf numFmtId="0" fontId="3" fillId="55" borderId="23" xfId="249" applyFont="1" applyFill="1" applyBorder="1" applyAlignment="1">
      <alignment horizontal="center" vertical="center" wrapText="1"/>
      <protection/>
    </xf>
    <xf numFmtId="1" fontId="3" fillId="54" borderId="19" xfId="0" applyNumberFormat="1" applyFont="1" applyFill="1" applyBorder="1" applyAlignment="1">
      <alignment horizontal="center" vertical="center" wrapText="1"/>
    </xf>
    <xf numFmtId="0" fontId="7" fillId="51" borderId="19" xfId="0" applyFont="1" applyFill="1" applyBorder="1" applyAlignment="1">
      <alignment horizontal="left" vertical="center" wrapText="1"/>
    </xf>
    <xf numFmtId="1" fontId="3" fillId="0" borderId="19" xfId="0" applyNumberFormat="1" applyFont="1" applyFill="1" applyBorder="1" applyAlignment="1">
      <alignment horizontal="center" vertical="center" wrapText="1"/>
    </xf>
    <xf numFmtId="0" fontId="3" fillId="55" borderId="21" xfId="249" applyFont="1" applyFill="1" applyBorder="1" applyAlignment="1">
      <alignment vertical="center" wrapText="1"/>
      <protection/>
    </xf>
    <xf numFmtId="0" fontId="3" fillId="55" borderId="20" xfId="249" applyFont="1" applyFill="1" applyBorder="1" applyAlignment="1">
      <alignment vertical="center" wrapText="1"/>
      <protection/>
    </xf>
    <xf numFmtId="0" fontId="3" fillId="0" borderId="19" xfId="0" applyFont="1" applyBorder="1" applyAlignment="1">
      <alignment vertical="center" wrapText="1"/>
    </xf>
    <xf numFmtId="0" fontId="3" fillId="0" borderId="19" xfId="431" applyFont="1" applyFill="1" applyBorder="1" applyAlignment="1">
      <alignment vertical="center" wrapText="1"/>
      <protection/>
    </xf>
    <xf numFmtId="0" fontId="3" fillId="0" borderId="19" xfId="375" applyFont="1" applyFill="1" applyBorder="1" applyAlignment="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54" borderId="19" xfId="0" applyFont="1" applyFill="1" applyBorder="1" applyAlignment="1">
      <alignment horizontal="left" vertical="center" wrapText="1"/>
    </xf>
    <xf numFmtId="1" fontId="3" fillId="54" borderId="19" xfId="0" applyNumberFormat="1" applyFont="1" applyFill="1" applyBorder="1" applyAlignment="1">
      <alignment horizontal="center" vertical="center" wrapText="1"/>
    </xf>
    <xf numFmtId="0" fontId="3" fillId="0" borderId="19" xfId="431" applyFont="1" applyFill="1" applyBorder="1" applyAlignment="1">
      <alignment horizontal="center" vertical="center" wrapText="1"/>
      <protection/>
    </xf>
    <xf numFmtId="0" fontId="51" fillId="0" borderId="19" xfId="431" applyFont="1" applyFill="1" applyBorder="1" applyAlignment="1">
      <alignment vertical="center" wrapText="1"/>
      <protection/>
    </xf>
    <xf numFmtId="0" fontId="3" fillId="0" borderId="19" xfId="0" applyFont="1" applyBorder="1" applyAlignment="1">
      <alignment/>
    </xf>
    <xf numFmtId="0" fontId="7" fillId="0" borderId="19" xfId="431" applyFont="1" applyFill="1" applyBorder="1" applyAlignment="1">
      <alignment vertical="center" wrapText="1"/>
      <protection/>
    </xf>
    <xf numFmtId="0" fontId="3" fillId="0" borderId="19" xfId="350" applyFont="1" applyFill="1" applyBorder="1" applyAlignment="1">
      <alignment horizontal="center" vertical="center" wrapText="1"/>
      <protection/>
    </xf>
    <xf numFmtId="0" fontId="3" fillId="0" borderId="19" xfId="0" applyFont="1" applyFill="1" applyBorder="1" applyAlignment="1">
      <alignment/>
    </xf>
    <xf numFmtId="2" fontId="7" fillId="0" borderId="19" xfId="0" applyNumberFormat="1" applyFont="1" applyFill="1" applyBorder="1" applyAlignment="1">
      <alignment vertical="center"/>
    </xf>
    <xf numFmtId="0" fontId="3" fillId="0" borderId="24" xfId="0" applyFont="1" applyBorder="1" applyAlignment="1">
      <alignment horizontal="center" vertical="center"/>
    </xf>
    <xf numFmtId="0" fontId="3" fillId="0" borderId="24" xfId="0" applyFont="1" applyFill="1" applyBorder="1" applyAlignment="1">
      <alignment horizontal="center" vertical="center"/>
    </xf>
    <xf numFmtId="0" fontId="3" fillId="56" borderId="20" xfId="249" applyFont="1" applyFill="1" applyBorder="1" applyAlignment="1">
      <alignment vertical="center" wrapText="1"/>
      <protection/>
    </xf>
    <xf numFmtId="0" fontId="3" fillId="56" borderId="20" xfId="249" applyFont="1" applyFill="1" applyBorder="1" applyAlignment="1">
      <alignment horizontal="center" vertical="center" wrapText="1"/>
      <protection/>
    </xf>
    <xf numFmtId="1" fontId="3" fillId="56" borderId="20" xfId="249" applyNumberFormat="1" applyFont="1" applyFill="1" applyBorder="1" applyAlignment="1">
      <alignment horizontal="center" vertical="center" wrapText="1"/>
      <protection/>
    </xf>
    <xf numFmtId="0" fontId="3" fillId="54" borderId="0" xfId="0" applyFont="1" applyFill="1" applyBorder="1" applyAlignment="1">
      <alignment vertical="center"/>
    </xf>
    <xf numFmtId="0" fontId="52" fillId="0" borderId="19" xfId="437" applyFont="1" applyFill="1" applyBorder="1" applyAlignment="1">
      <alignment horizontal="left" vertical="center" wrapText="1"/>
      <protection/>
    </xf>
    <xf numFmtId="0" fontId="3" fillId="0" borderId="19" xfId="385" applyNumberFormat="1" applyFont="1" applyFill="1" applyBorder="1" applyAlignment="1">
      <alignment horizontal="center" vertical="center"/>
      <protection/>
    </xf>
    <xf numFmtId="2" fontId="3" fillId="0" borderId="19" xfId="385" applyNumberFormat="1" applyFont="1" applyFill="1" applyBorder="1" applyAlignment="1">
      <alignment horizontal="center" vertical="center"/>
      <protection/>
    </xf>
    <xf numFmtId="0" fontId="3" fillId="0" borderId="19" xfId="350" applyFont="1" applyFill="1" applyBorder="1" applyAlignment="1">
      <alignment horizontal="center" vertical="center"/>
      <protection/>
    </xf>
    <xf numFmtId="0" fontId="3" fillId="0" borderId="19" xfId="351" applyFont="1" applyFill="1" applyBorder="1" applyAlignment="1">
      <alignment horizontal="left" vertical="center" wrapText="1"/>
      <protection/>
    </xf>
    <xf numFmtId="0" fontId="3" fillId="0" borderId="25" xfId="386" applyFont="1" applyBorder="1" applyAlignment="1">
      <alignment horizontal="center"/>
      <protection/>
    </xf>
    <xf numFmtId="0" fontId="53" fillId="0" borderId="0" xfId="429" applyFont="1" applyFill="1" applyBorder="1" applyAlignment="1">
      <alignment horizontal="center" vertical="center" wrapText="1"/>
      <protection/>
    </xf>
    <xf numFmtId="2" fontId="3" fillId="54" borderId="19" xfId="0" applyNumberFormat="1" applyFont="1" applyFill="1" applyBorder="1" applyAlignment="1">
      <alignment horizontal="left" vertical="center" wrapText="1"/>
    </xf>
    <xf numFmtId="0" fontId="3" fillId="0" borderId="19" xfId="0" applyNumberFormat="1" applyFont="1" applyFill="1" applyBorder="1" applyAlignment="1">
      <alignment vertical="center"/>
    </xf>
    <xf numFmtId="1" fontId="3" fillId="0" borderId="19" xfId="0" applyNumberFormat="1" applyFont="1" applyFill="1" applyBorder="1" applyAlignment="1">
      <alignment horizontal="center" vertical="center"/>
    </xf>
    <xf numFmtId="1" fontId="3" fillId="0" borderId="19" xfId="0" applyNumberFormat="1" applyFont="1" applyBorder="1" applyAlignment="1">
      <alignment horizontal="center" vertical="center"/>
    </xf>
    <xf numFmtId="1" fontId="3" fillId="0" borderId="26" xfId="0" applyNumberFormat="1" applyFont="1" applyFill="1" applyBorder="1" applyAlignment="1">
      <alignment horizontal="center" vertical="center"/>
    </xf>
    <xf numFmtId="1" fontId="3" fillId="0" borderId="26" xfId="0" applyNumberFormat="1" applyFont="1" applyBorder="1" applyAlignment="1">
      <alignment horizontal="center" vertical="center"/>
    </xf>
    <xf numFmtId="0" fontId="7" fillId="0" borderId="19" xfId="431" applyFont="1" applyFill="1" applyBorder="1" applyAlignment="1">
      <alignment horizontal="center" vertical="center" wrapText="1"/>
      <protection/>
    </xf>
    <xf numFmtId="49" fontId="3" fillId="0" borderId="24" xfId="0" applyNumberFormat="1" applyFont="1" applyFill="1" applyBorder="1" applyAlignment="1">
      <alignment horizontal="center" vertical="center"/>
    </xf>
    <xf numFmtId="0" fontId="3" fillId="0" borderId="24" xfId="431" applyFont="1" applyFill="1" applyBorder="1" applyAlignment="1">
      <alignment vertical="center" wrapText="1"/>
      <protection/>
    </xf>
    <xf numFmtId="0" fontId="3" fillId="0" borderId="19" xfId="0" applyNumberFormat="1" applyFont="1" applyFill="1" applyBorder="1" applyAlignment="1">
      <alignment horizontal="center" vertical="center"/>
    </xf>
    <xf numFmtId="0" fontId="3" fillId="0" borderId="19" xfId="0" applyNumberFormat="1" applyFont="1" applyFill="1" applyBorder="1" applyAlignment="1">
      <alignment vertical="center" wrapText="1"/>
    </xf>
    <xf numFmtId="1" fontId="3" fillId="0" borderId="27" xfId="0" applyNumberFormat="1" applyFont="1" applyBorder="1" applyAlignment="1">
      <alignment horizontal="center" vertical="center"/>
    </xf>
    <xf numFmtId="1" fontId="3" fillId="0" borderId="21" xfId="0" applyNumberFormat="1" applyFont="1" applyBorder="1" applyAlignment="1">
      <alignment horizontal="center" vertical="center"/>
    </xf>
    <xf numFmtId="1" fontId="3" fillId="0" borderId="20" xfId="0" applyNumberFormat="1" applyFont="1" applyBorder="1" applyAlignment="1">
      <alignment horizontal="center" vertical="center"/>
    </xf>
    <xf numFmtId="49" fontId="3" fillId="0" borderId="19" xfId="0" applyNumberFormat="1" applyFont="1" applyBorder="1" applyAlignment="1">
      <alignment horizontal="center"/>
    </xf>
    <xf numFmtId="0" fontId="7" fillId="0" borderId="28" xfId="431" applyFont="1" applyFill="1" applyBorder="1" applyAlignment="1">
      <alignment vertical="center" wrapText="1"/>
      <protection/>
    </xf>
    <xf numFmtId="49" fontId="3" fillId="0" borderId="19" xfId="0" applyNumberFormat="1" applyFont="1" applyBorder="1" applyAlignment="1">
      <alignment horizontal="center" vertical="center"/>
    </xf>
    <xf numFmtId="49" fontId="3" fillId="54" borderId="28" xfId="0" applyNumberFormat="1" applyFont="1" applyFill="1" applyBorder="1" applyAlignment="1">
      <alignment vertical="center" wrapText="1"/>
    </xf>
    <xf numFmtId="1" fontId="3" fillId="54" borderId="19" xfId="0" applyNumberFormat="1" applyFont="1" applyFill="1" applyBorder="1" applyAlignment="1">
      <alignment horizontal="center" vertical="center"/>
    </xf>
    <xf numFmtId="49" fontId="3" fillId="0" borderId="28" xfId="0" applyNumberFormat="1" applyFont="1" applyFill="1" applyBorder="1" applyAlignment="1">
      <alignment vertical="center" wrapText="1"/>
    </xf>
    <xf numFmtId="49" fontId="3" fillId="0" borderId="24" xfId="0" applyNumberFormat="1" applyFont="1" applyBorder="1" applyAlignment="1">
      <alignment horizontal="center" vertical="center"/>
    </xf>
    <xf numFmtId="49" fontId="3" fillId="0" borderId="19" xfId="0" applyNumberFormat="1" applyFont="1" applyBorder="1" applyAlignment="1">
      <alignment horizontal="center"/>
    </xf>
    <xf numFmtId="0" fontId="7" fillId="0" borderId="29" xfId="431" applyFont="1" applyFill="1" applyBorder="1" applyAlignment="1">
      <alignment vertical="center" wrapText="1"/>
      <protection/>
    </xf>
    <xf numFmtId="0" fontId="3" fillId="0" borderId="24" xfId="0" applyNumberFormat="1" applyFont="1" applyFill="1" applyBorder="1" applyAlignment="1" applyProtection="1">
      <alignment horizontal="center" vertical="center" wrapText="1"/>
      <protection/>
    </xf>
    <xf numFmtId="49" fontId="3" fillId="0" borderId="19" xfId="0" applyNumberFormat="1" applyFont="1" applyBorder="1" applyAlignment="1">
      <alignment horizontal="center" vertical="center"/>
    </xf>
    <xf numFmtId="49" fontId="3" fillId="0" borderId="19" xfId="0" applyNumberFormat="1" applyFont="1" applyFill="1" applyBorder="1" applyAlignment="1">
      <alignment vertical="center" wrapText="1"/>
    </xf>
    <xf numFmtId="0" fontId="3" fillId="0" borderId="19" xfId="0" applyFont="1" applyBorder="1" applyAlignment="1">
      <alignment vertical="center"/>
    </xf>
    <xf numFmtId="49" fontId="3" fillId="54" borderId="19" xfId="0" applyNumberFormat="1" applyFont="1" applyFill="1" applyBorder="1" applyAlignment="1">
      <alignment horizontal="center" vertical="center"/>
    </xf>
    <xf numFmtId="0" fontId="3" fillId="54" borderId="19" xfId="0" applyFont="1" applyFill="1" applyBorder="1" applyAlignment="1">
      <alignment horizontal="center" vertical="center"/>
    </xf>
    <xf numFmtId="0" fontId="3" fillId="54" borderId="19" xfId="0" applyFont="1" applyFill="1" applyBorder="1" applyAlignment="1">
      <alignment horizontal="center"/>
    </xf>
    <xf numFmtId="1" fontId="3" fillId="54" borderId="19" xfId="0" applyNumberFormat="1" applyFont="1" applyFill="1" applyBorder="1" applyAlignment="1">
      <alignment horizontal="center"/>
    </xf>
    <xf numFmtId="0" fontId="3" fillId="0" borderId="19" xfId="0" applyFont="1" applyBorder="1" applyAlignment="1">
      <alignment vertical="center" wrapText="1"/>
    </xf>
    <xf numFmtId="0" fontId="3" fillId="0" borderId="19" xfId="0" applyFont="1" applyBorder="1" applyAlignment="1">
      <alignment horizontal="center" vertical="center"/>
    </xf>
    <xf numFmtId="0" fontId="3" fillId="0" borderId="19" xfId="0" applyFont="1" applyBorder="1" applyAlignment="1">
      <alignment wrapText="1"/>
    </xf>
    <xf numFmtId="0" fontId="3" fillId="0" borderId="19" xfId="0" applyFont="1" applyBorder="1" applyAlignment="1">
      <alignment/>
    </xf>
    <xf numFmtId="1" fontId="3" fillId="0" borderId="19" xfId="0" applyNumberFormat="1" applyFont="1" applyBorder="1" applyAlignment="1">
      <alignment horizontal="center"/>
    </xf>
    <xf numFmtId="0" fontId="7" fillId="0" borderId="19" xfId="0" applyFont="1" applyBorder="1" applyAlignment="1">
      <alignment vertical="center"/>
    </xf>
    <xf numFmtId="49" fontId="3" fillId="0" borderId="24" xfId="0" applyNumberFormat="1" applyFont="1" applyBorder="1" applyAlignment="1">
      <alignment horizontal="center" vertical="center"/>
    </xf>
    <xf numFmtId="0" fontId="3" fillId="0" borderId="24" xfId="375" applyFont="1" applyFill="1" applyBorder="1" applyAlignment="1">
      <alignment horizontal="center" vertical="center" wrapText="1"/>
      <protection/>
    </xf>
    <xf numFmtId="0" fontId="3" fillId="0" borderId="28" xfId="0" applyFont="1" applyBorder="1" applyAlignment="1">
      <alignment vertical="center"/>
    </xf>
    <xf numFmtId="0" fontId="3" fillId="0" borderId="28" xfId="0" applyFont="1" applyBorder="1" applyAlignment="1">
      <alignment horizontal="right" vertical="center" wrapText="1"/>
    </xf>
    <xf numFmtId="0" fontId="3" fillId="0" borderId="20" xfId="0" applyFont="1" applyBorder="1" applyAlignment="1">
      <alignment horizontal="center" vertical="center"/>
    </xf>
    <xf numFmtId="0" fontId="3" fillId="0" borderId="30" xfId="0" applyFont="1" applyBorder="1" applyAlignment="1">
      <alignment horizontal="center" vertical="center"/>
    </xf>
    <xf numFmtId="1" fontId="3" fillId="0" borderId="30" xfId="0" applyNumberFormat="1" applyFont="1" applyBorder="1" applyAlignment="1">
      <alignment horizontal="center" vertical="center"/>
    </xf>
    <xf numFmtId="0" fontId="3" fillId="0" borderId="21" xfId="0" applyFont="1" applyBorder="1" applyAlignment="1">
      <alignment horizontal="center"/>
    </xf>
    <xf numFmtId="0" fontId="3" fillId="0" borderId="28" xfId="0" applyFont="1" applyBorder="1" applyAlignment="1">
      <alignment horizontal="right" vertical="center"/>
    </xf>
    <xf numFmtId="1" fontId="3" fillId="54" borderId="20" xfId="0" applyNumberFormat="1" applyFont="1" applyFill="1" applyBorder="1" applyAlignment="1">
      <alignment horizontal="center" vertical="center"/>
    </xf>
    <xf numFmtId="0" fontId="3" fillId="0" borderId="20" xfId="0" applyFont="1" applyBorder="1" applyAlignment="1">
      <alignment horizontal="center"/>
    </xf>
    <xf numFmtId="0" fontId="7" fillId="0" borderId="28" xfId="0" applyFont="1" applyBorder="1" applyAlignment="1">
      <alignment vertical="center"/>
    </xf>
    <xf numFmtId="0" fontId="3" fillId="54" borderId="0" xfId="0" applyFont="1" applyFill="1" applyBorder="1" applyAlignment="1">
      <alignment vertical="center" wrapText="1"/>
    </xf>
    <xf numFmtId="0" fontId="3" fillId="54" borderId="31" xfId="0" applyFont="1" applyFill="1" applyBorder="1" applyAlignment="1">
      <alignment vertical="center" wrapText="1"/>
    </xf>
    <xf numFmtId="0" fontId="3" fillId="54" borderId="32" xfId="0" applyFont="1" applyFill="1" applyBorder="1" applyAlignment="1">
      <alignment vertical="center" wrapText="1"/>
    </xf>
    <xf numFmtId="0" fontId="3" fillId="54" borderId="33" xfId="0" applyFont="1" applyFill="1" applyBorder="1" applyAlignment="1">
      <alignment vertical="center" wrapText="1"/>
    </xf>
    <xf numFmtId="0" fontId="3" fillId="54" borderId="34" xfId="0" applyFont="1" applyFill="1" applyBorder="1" applyAlignment="1">
      <alignment vertical="center" wrapText="1"/>
    </xf>
    <xf numFmtId="0" fontId="3" fillId="54" borderId="35" xfId="0" applyFont="1" applyFill="1" applyBorder="1" applyAlignment="1">
      <alignment vertical="center" wrapText="1"/>
    </xf>
    <xf numFmtId="49" fontId="3" fillId="54" borderId="24" xfId="0" applyNumberFormat="1" applyFont="1" applyFill="1" applyBorder="1" applyAlignment="1">
      <alignment horizontal="center" vertical="center"/>
    </xf>
    <xf numFmtId="0" fontId="3" fillId="54" borderId="32" xfId="0" applyFont="1" applyFill="1" applyBorder="1" applyAlignment="1">
      <alignment vertical="center"/>
    </xf>
    <xf numFmtId="0" fontId="7" fillId="0" borderId="24" xfId="0" applyFont="1" applyBorder="1" applyAlignment="1">
      <alignment vertical="center"/>
    </xf>
    <xf numFmtId="0" fontId="3" fillId="0" borderId="24" xfId="0" applyFont="1" applyBorder="1" applyAlignment="1">
      <alignment vertical="center"/>
    </xf>
    <xf numFmtId="0" fontId="3" fillId="0" borderId="36" xfId="0" applyFont="1" applyBorder="1" applyAlignment="1">
      <alignment/>
    </xf>
    <xf numFmtId="0" fontId="3" fillId="0" borderId="21" xfId="0" applyFont="1" applyBorder="1" applyAlignment="1">
      <alignment horizontal="center" vertical="center"/>
    </xf>
    <xf numFmtId="1" fontId="3" fillId="0" borderId="21" xfId="0" applyNumberFormat="1" applyFont="1" applyBorder="1" applyAlignment="1">
      <alignment horizontal="center"/>
    </xf>
    <xf numFmtId="0" fontId="3" fillId="0" borderId="22" xfId="0" applyFont="1" applyBorder="1" applyAlignment="1">
      <alignment horizontal="center" vertical="center"/>
    </xf>
    <xf numFmtId="1" fontId="3" fillId="0" borderId="22" xfId="0" applyNumberFormat="1" applyFont="1" applyBorder="1" applyAlignment="1">
      <alignment horizontal="center"/>
    </xf>
    <xf numFmtId="0" fontId="3" fillId="0" borderId="36" xfId="0" applyFont="1" applyFill="1" applyBorder="1" applyAlignment="1">
      <alignment horizontal="center" vertical="center"/>
    </xf>
    <xf numFmtId="0" fontId="3" fillId="0" borderId="36" xfId="0" applyFont="1" applyBorder="1" applyAlignment="1">
      <alignment horizontal="center" vertical="center"/>
    </xf>
    <xf numFmtId="0" fontId="3" fillId="0" borderId="20" xfId="0" applyFont="1" applyBorder="1" applyAlignment="1">
      <alignment horizontal="left" vertical="center" wrapText="1"/>
    </xf>
    <xf numFmtId="0" fontId="3" fillId="0" borderId="20" xfId="0" applyFont="1" applyFill="1" applyBorder="1" applyAlignment="1">
      <alignment horizontal="center" vertical="center"/>
    </xf>
    <xf numFmtId="0" fontId="3" fillId="0" borderId="20" xfId="0" applyFont="1" applyBorder="1" applyAlignment="1">
      <alignment horizontal="center" vertical="center"/>
    </xf>
    <xf numFmtId="0" fontId="3" fillId="55" borderId="21" xfId="0" applyFont="1" applyFill="1" applyBorder="1" applyAlignment="1">
      <alignment horizontal="left" vertical="center" wrapText="1"/>
    </xf>
    <xf numFmtId="0" fontId="3" fillId="55" borderId="21" xfId="0" applyFont="1" applyFill="1" applyBorder="1" applyAlignment="1">
      <alignment horizontal="center" vertical="center"/>
    </xf>
    <xf numFmtId="2" fontId="50" fillId="54" borderId="20" xfId="0" applyNumberFormat="1" applyFont="1" applyFill="1" applyBorder="1" applyAlignment="1">
      <alignment horizontal="center" vertical="center"/>
    </xf>
    <xf numFmtId="0" fontId="3" fillId="0" borderId="19" xfId="384" applyFont="1" applyFill="1" applyBorder="1" applyAlignment="1">
      <alignment vertical="center" wrapText="1"/>
      <protection/>
    </xf>
    <xf numFmtId="0" fontId="3" fillId="0" borderId="19" xfId="384" applyFont="1" applyFill="1" applyBorder="1" applyAlignment="1">
      <alignment horizontal="center" vertical="center" wrapText="1"/>
      <protection/>
    </xf>
    <xf numFmtId="0" fontId="3" fillId="0" borderId="19" xfId="431" applyFont="1" applyFill="1" applyBorder="1" applyAlignment="1">
      <alignment vertical="center" wrapText="1" shrinkToFit="1"/>
      <protection/>
    </xf>
    <xf numFmtId="0" fontId="3" fillId="0" borderId="19" xfId="431" applyFont="1" applyFill="1" applyBorder="1" applyAlignment="1">
      <alignment horizontal="center" vertical="center" wrapText="1" shrinkToFit="1"/>
      <protection/>
    </xf>
    <xf numFmtId="0" fontId="3" fillId="0" borderId="19" xfId="431" applyFont="1" applyFill="1" applyBorder="1" applyAlignment="1">
      <alignment horizontal="right" vertical="center" wrapText="1" shrinkToFit="1"/>
      <protection/>
    </xf>
    <xf numFmtId="0" fontId="7" fillId="0" borderId="19" xfId="431" applyFont="1" applyFill="1" applyBorder="1" applyAlignment="1">
      <alignment vertical="center" wrapText="1" shrinkToFit="1"/>
      <protection/>
    </xf>
    <xf numFmtId="0" fontId="3" fillId="0" borderId="19" xfId="0" applyFont="1" applyFill="1" applyBorder="1" applyAlignment="1">
      <alignment horizontal="right" vertical="center" wrapText="1"/>
    </xf>
    <xf numFmtId="0" fontId="3" fillId="0" borderId="19" xfId="0" applyFont="1" applyFill="1" applyBorder="1" applyAlignment="1">
      <alignment horizontal="left" wrapText="1"/>
    </xf>
    <xf numFmtId="0" fontId="3" fillId="0" borderId="19" xfId="388" applyFont="1" applyFill="1" applyBorder="1" applyAlignment="1">
      <alignment horizontal="left" wrapText="1"/>
      <protection/>
    </xf>
    <xf numFmtId="0" fontId="3" fillId="0" borderId="19" xfId="388" applyFont="1" applyFill="1" applyBorder="1" applyAlignment="1">
      <alignment horizontal="right" wrapText="1"/>
      <protection/>
    </xf>
    <xf numFmtId="2" fontId="3" fillId="54" borderId="19" xfId="429" applyNumberFormat="1" applyFont="1" applyFill="1" applyBorder="1" applyAlignment="1">
      <alignment horizontal="center" vertical="center"/>
      <protection/>
    </xf>
    <xf numFmtId="0" fontId="4" fillId="54" borderId="0" xfId="0" applyFont="1" applyFill="1" applyBorder="1" applyAlignment="1">
      <alignment/>
    </xf>
    <xf numFmtId="0" fontId="53" fillId="54" borderId="0" xfId="429" applyFont="1" applyFill="1" applyBorder="1" applyAlignment="1">
      <alignment horizontal="center" vertical="center" wrapText="1"/>
      <protection/>
    </xf>
    <xf numFmtId="0" fontId="3" fillId="54" borderId="19" xfId="335" applyFont="1" applyFill="1" applyBorder="1" applyAlignment="1">
      <alignment horizontal="center" vertical="center" wrapText="1"/>
      <protection/>
    </xf>
    <xf numFmtId="2" fontId="7" fillId="54" borderId="19" xfId="0" applyNumberFormat="1" applyFont="1" applyFill="1" applyBorder="1" applyAlignment="1">
      <alignment/>
    </xf>
    <xf numFmtId="2" fontId="3" fillId="54" borderId="19" xfId="429" applyNumberFormat="1" applyFont="1" applyFill="1" applyBorder="1" applyAlignment="1">
      <alignment horizontal="center" vertical="center" wrapText="1"/>
      <protection/>
    </xf>
    <xf numFmtId="0" fontId="3" fillId="54" borderId="20" xfId="249" applyFont="1" applyFill="1" applyBorder="1" applyAlignment="1">
      <alignment horizontal="left" vertical="center" wrapText="1"/>
      <protection/>
    </xf>
    <xf numFmtId="49" fontId="3" fillId="0" borderId="19" xfId="0" applyNumberFormat="1" applyFont="1" applyBorder="1" applyAlignment="1" quotePrefix="1">
      <alignment horizontal="center" vertical="center"/>
    </xf>
    <xf numFmtId="0" fontId="50" fillId="0" borderId="0" xfId="381" applyFont="1" applyFill="1" applyBorder="1" applyAlignment="1">
      <alignment horizontal="center" vertical="center" wrapText="1"/>
      <protection/>
    </xf>
    <xf numFmtId="0" fontId="50" fillId="0" borderId="0" xfId="381" applyFont="1" applyFill="1" applyAlignment="1">
      <alignment horizontal="left" vertical="center"/>
      <protection/>
    </xf>
    <xf numFmtId="1" fontId="3" fillId="54" borderId="20" xfId="0" applyNumberFormat="1" applyFont="1" applyFill="1" applyBorder="1" applyAlignment="1">
      <alignment horizontal="center"/>
    </xf>
    <xf numFmtId="0" fontId="3" fillId="54" borderId="21" xfId="0" applyFont="1" applyFill="1" applyBorder="1" applyAlignment="1">
      <alignment vertical="center" wrapText="1"/>
    </xf>
    <xf numFmtId="0" fontId="3" fillId="54" borderId="21" xfId="0" applyFont="1" applyFill="1" applyBorder="1" applyAlignment="1">
      <alignment horizontal="center" wrapText="1"/>
    </xf>
    <xf numFmtId="0" fontId="7" fillId="14" borderId="19" xfId="382" applyFont="1" applyFill="1" applyBorder="1" applyAlignment="1">
      <alignment horizontal="left" vertical="center" wrapText="1"/>
      <protection/>
    </xf>
    <xf numFmtId="1" fontId="3" fillId="0" borderId="19" xfId="0" applyNumberFormat="1" applyFont="1" applyBorder="1" applyAlignment="1">
      <alignment horizontal="center" vertical="center"/>
    </xf>
    <xf numFmtId="0" fontId="3" fillId="14" borderId="19" xfId="382" applyFont="1" applyFill="1" applyBorder="1" applyAlignment="1">
      <alignment horizontal="center" vertical="center" wrapText="1"/>
      <protection/>
    </xf>
    <xf numFmtId="2" fontId="3" fillId="14" borderId="19" xfId="382" applyNumberFormat="1" applyFont="1" applyFill="1" applyBorder="1" applyAlignment="1">
      <alignment horizontal="center" vertical="center" wrapText="1"/>
      <protection/>
    </xf>
    <xf numFmtId="0" fontId="3" fillId="0" borderId="19" xfId="377" applyFont="1" applyFill="1" applyBorder="1" applyAlignment="1">
      <alignment horizontal="center" vertical="center"/>
      <protection/>
    </xf>
    <xf numFmtId="2" fontId="3" fillId="0" borderId="19" xfId="377" applyNumberFormat="1" applyFont="1" applyFill="1" applyBorder="1" applyAlignment="1">
      <alignment horizontal="center" vertical="center"/>
      <protection/>
    </xf>
    <xf numFmtId="49" fontId="56" fillId="0" borderId="0" xfId="381" applyNumberFormat="1" applyFont="1" applyFill="1" applyBorder="1" applyAlignment="1">
      <alignment vertical="center"/>
      <protection/>
    </xf>
    <xf numFmtId="0" fontId="3" fillId="0" borderId="19" xfId="0" applyFont="1" applyBorder="1" applyAlignment="1">
      <alignment wrapText="1"/>
    </xf>
    <xf numFmtId="0" fontId="7" fillId="0" borderId="19" xfId="0" applyFont="1" applyBorder="1" applyAlignment="1">
      <alignment/>
    </xf>
    <xf numFmtId="0" fontId="3" fillId="0" borderId="19" xfId="0" applyFont="1" applyBorder="1" applyAlignment="1">
      <alignment horizontal="left" vertical="center" wrapText="1"/>
    </xf>
    <xf numFmtId="0" fontId="3" fillId="0" borderId="24" xfId="0" applyFont="1" applyBorder="1" applyAlignment="1">
      <alignment/>
    </xf>
    <xf numFmtId="0" fontId="3" fillId="0" borderId="19" xfId="0" applyFont="1" applyBorder="1" applyAlignment="1">
      <alignment vertical="center"/>
    </xf>
    <xf numFmtId="0" fontId="3" fillId="0" borderId="37" xfId="0" applyFont="1" applyFill="1" applyBorder="1" applyAlignment="1">
      <alignment vertical="center" wrapText="1"/>
    </xf>
    <xf numFmtId="0" fontId="3" fillId="54" borderId="19" xfId="0" applyFont="1" applyFill="1" applyBorder="1" applyAlignment="1">
      <alignment wrapText="1"/>
    </xf>
    <xf numFmtId="0" fontId="3" fillId="0" borderId="19" xfId="0" applyFont="1" applyFill="1" applyBorder="1" applyAlignment="1">
      <alignment vertical="center"/>
    </xf>
    <xf numFmtId="0" fontId="3" fillId="0" borderId="36" xfId="0" applyFont="1" applyBorder="1" applyAlignment="1">
      <alignment wrapText="1"/>
    </xf>
    <xf numFmtId="0" fontId="3" fillId="0" borderId="20" xfId="249" applyFont="1" applyBorder="1" applyAlignment="1">
      <alignment horizontal="left" vertical="center" wrapText="1"/>
      <protection/>
    </xf>
    <xf numFmtId="0" fontId="3" fillId="54" borderId="19" xfId="249" applyFont="1" applyFill="1" applyBorder="1" applyAlignment="1">
      <alignment horizontal="left" vertical="center" wrapText="1"/>
      <protection/>
    </xf>
    <xf numFmtId="1" fontId="3" fillId="54" borderId="19" xfId="249" applyNumberFormat="1" applyFont="1" applyFill="1" applyBorder="1" applyAlignment="1">
      <alignment horizontal="center" vertical="center" wrapText="1"/>
      <protection/>
    </xf>
    <xf numFmtId="0" fontId="3" fillId="0" borderId="20" xfId="249" applyFont="1" applyBorder="1" applyAlignment="1">
      <alignment horizontal="left" vertical="center"/>
      <protection/>
    </xf>
    <xf numFmtId="0" fontId="3" fillId="0" borderId="20" xfId="249" applyFont="1" applyBorder="1" applyAlignment="1">
      <alignment horizontal="center" vertical="center"/>
      <protection/>
    </xf>
    <xf numFmtId="0" fontId="3" fillId="0" borderId="19" xfId="249" applyFont="1" applyBorder="1" applyAlignment="1">
      <alignment horizontal="left" vertical="center" wrapText="1"/>
      <protection/>
    </xf>
    <xf numFmtId="0" fontId="3" fillId="54" borderId="19" xfId="335" applyFont="1" applyFill="1" applyBorder="1" applyAlignment="1">
      <alignment vertical="center" wrapText="1"/>
      <protection/>
    </xf>
    <xf numFmtId="0" fontId="3" fillId="0" borderId="19" xfId="0" applyFont="1" applyBorder="1" applyAlignment="1">
      <alignment horizontal="left" vertical="center"/>
    </xf>
    <xf numFmtId="0" fontId="50" fillId="54" borderId="0" xfId="381" applyFont="1" applyFill="1" applyBorder="1" applyAlignment="1">
      <alignment horizontal="center" vertical="center" wrapText="1"/>
      <protection/>
    </xf>
    <xf numFmtId="0" fontId="7" fillId="54" borderId="19" xfId="335" applyFont="1" applyFill="1" applyBorder="1" applyAlignment="1">
      <alignment horizontal="left" vertical="center"/>
      <protection/>
    </xf>
    <xf numFmtId="0" fontId="7" fillId="54" borderId="19" xfId="335" applyFont="1" applyFill="1" applyBorder="1" applyAlignment="1">
      <alignment horizontal="left" vertical="center" wrapText="1"/>
      <protection/>
    </xf>
    <xf numFmtId="0" fontId="51" fillId="54" borderId="19" xfId="335" applyFont="1" applyFill="1" applyBorder="1" applyAlignment="1">
      <alignment horizontal="left" vertical="center" wrapText="1"/>
      <protection/>
    </xf>
    <xf numFmtId="0" fontId="57" fillId="54" borderId="19" xfId="335" applyFont="1" applyFill="1" applyBorder="1" applyAlignment="1">
      <alignment horizontal="left" vertical="center" wrapText="1"/>
      <protection/>
    </xf>
    <xf numFmtId="0" fontId="54" fillId="0" borderId="0" xfId="381" applyFont="1" applyFill="1" applyBorder="1" applyAlignment="1">
      <alignment horizontal="center" wrapText="1"/>
      <protection/>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right" vertical="center" wrapText="1"/>
    </xf>
    <xf numFmtId="2" fontId="7" fillId="0" borderId="0" xfId="0" applyNumberFormat="1" applyFont="1" applyFill="1" applyBorder="1" applyAlignment="1">
      <alignment horizontal="center" vertical="center" wrapText="1"/>
    </xf>
    <xf numFmtId="0" fontId="79" fillId="0" borderId="0" xfId="0" applyFont="1" applyAlignment="1">
      <alignment/>
    </xf>
    <xf numFmtId="0" fontId="58" fillId="0" borderId="0" xfId="0" applyFont="1" applyFill="1" applyBorder="1" applyAlignment="1">
      <alignment/>
    </xf>
    <xf numFmtId="0" fontId="59" fillId="0" borderId="0" xfId="429" applyFont="1" applyFill="1" applyBorder="1" applyAlignment="1">
      <alignment horizontal="center" vertical="center" wrapText="1"/>
      <protection/>
    </xf>
    <xf numFmtId="0" fontId="58" fillId="0" borderId="0" xfId="381" applyFont="1" applyFill="1" applyBorder="1" applyAlignment="1">
      <alignment horizontal="center" wrapText="1"/>
      <protection/>
    </xf>
    <xf numFmtId="0" fontId="23" fillId="0" borderId="0" xfId="381" applyFont="1" applyFill="1" applyBorder="1" applyAlignment="1">
      <alignment horizontal="center" vertical="center" wrapText="1"/>
      <protection/>
    </xf>
    <xf numFmtId="0" fontId="61" fillId="0" borderId="19" xfId="381" applyFont="1" applyFill="1" applyBorder="1" applyAlignment="1">
      <alignment horizontal="center" vertical="center" wrapText="1"/>
      <protection/>
    </xf>
    <xf numFmtId="0" fontId="61" fillId="0" borderId="19" xfId="381" applyFont="1" applyFill="1" applyBorder="1" applyAlignment="1">
      <alignment horizontal="center" vertical="center"/>
      <protection/>
    </xf>
    <xf numFmtId="0" fontId="62" fillId="0" borderId="19" xfId="381" applyFont="1" applyFill="1" applyBorder="1" applyAlignment="1">
      <alignment horizontal="center" vertical="center"/>
      <protection/>
    </xf>
    <xf numFmtId="0" fontId="7" fillId="0" borderId="19" xfId="0" applyFont="1" applyFill="1" applyBorder="1" applyAlignment="1">
      <alignment horizontal="center" vertical="center"/>
    </xf>
    <xf numFmtId="0" fontId="7" fillId="0" borderId="19" xfId="429" applyFont="1" applyFill="1" applyBorder="1" applyAlignment="1">
      <alignment horizontal="center" vertical="center" wrapText="1" shrinkToFit="1"/>
      <protection/>
    </xf>
    <xf numFmtId="0" fontId="80" fillId="0" borderId="19" xfId="429" applyFont="1" applyFill="1" applyBorder="1" applyAlignment="1">
      <alignment horizontal="center" vertical="center" wrapText="1" shrinkToFit="1"/>
      <protection/>
    </xf>
    <xf numFmtId="0" fontId="3" fillId="0" borderId="0" xfId="0" applyFont="1" applyFill="1" applyBorder="1" applyAlignment="1">
      <alignment/>
    </xf>
    <xf numFmtId="0" fontId="3" fillId="0" borderId="19" xfId="0" applyFont="1" applyFill="1" applyBorder="1" applyAlignment="1" quotePrefix="1">
      <alignment horizontal="center" vertical="center"/>
    </xf>
    <xf numFmtId="0" fontId="3" fillId="0" borderId="19" xfId="0" applyFont="1" applyBorder="1" applyAlignment="1">
      <alignment horizontal="left"/>
    </xf>
    <xf numFmtId="0" fontId="3" fillId="0" borderId="19" xfId="0" applyFont="1" applyBorder="1" applyAlignment="1">
      <alignment horizontal="center"/>
    </xf>
    <xf numFmtId="0" fontId="3" fillId="0" borderId="19" xfId="429" applyFont="1" applyFill="1" applyBorder="1" applyAlignment="1">
      <alignment vertical="center" wrapText="1" shrinkToFit="1"/>
      <protection/>
    </xf>
    <xf numFmtId="2" fontId="3" fillId="0" borderId="19" xfId="0" applyNumberFormat="1" applyFont="1" applyFill="1" applyBorder="1" applyAlignment="1">
      <alignment horizontal="left" vertical="center" wrapText="1"/>
    </xf>
    <xf numFmtId="0" fontId="3" fillId="0" borderId="19" xfId="0" applyFont="1" applyFill="1" applyBorder="1" applyAlignment="1">
      <alignment horizontal="center" vertical="center" wrapText="1"/>
    </xf>
    <xf numFmtId="2" fontId="3" fillId="0" borderId="19" xfId="0" applyNumberFormat="1" applyFont="1" applyFill="1" applyBorder="1" applyAlignment="1">
      <alignment horizontal="center" vertical="center"/>
    </xf>
    <xf numFmtId="49" fontId="3" fillId="0" borderId="19" xfId="0" applyNumberFormat="1" applyFont="1" applyFill="1" applyBorder="1" applyAlignment="1">
      <alignment horizontal="left" vertical="center"/>
    </xf>
    <xf numFmtId="49" fontId="3" fillId="0" borderId="19" xfId="0" applyNumberFormat="1" applyFont="1" applyFill="1" applyBorder="1" applyAlignment="1">
      <alignment horizontal="center" vertical="center"/>
    </xf>
    <xf numFmtId="49" fontId="3" fillId="54" borderId="19" xfId="0" applyNumberFormat="1" applyFont="1" applyFill="1" applyBorder="1" applyAlignment="1">
      <alignment horizontal="left" vertical="center" wrapText="1"/>
    </xf>
    <xf numFmtId="49" fontId="3" fillId="54" borderId="19" xfId="0" applyNumberFormat="1" applyFont="1" applyFill="1" applyBorder="1" applyAlignment="1">
      <alignment horizontal="center" vertical="center"/>
    </xf>
    <xf numFmtId="49" fontId="3" fillId="0" borderId="19" xfId="0" applyNumberFormat="1" applyFont="1" applyFill="1" applyBorder="1" applyAlignment="1">
      <alignment horizontal="left" vertical="center" wrapText="1"/>
    </xf>
    <xf numFmtId="49" fontId="3" fillId="0" borderId="36" xfId="0" applyNumberFormat="1" applyFont="1" applyFill="1" applyBorder="1" applyAlignment="1">
      <alignment horizontal="left" vertical="center"/>
    </xf>
    <xf numFmtId="49" fontId="3" fillId="0" borderId="36" xfId="0" applyNumberFormat="1" applyFont="1" applyFill="1" applyBorder="1" applyAlignment="1">
      <alignment horizontal="center" vertical="center"/>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383" applyFont="1" applyFill="1" applyBorder="1" applyAlignment="1">
      <alignment horizontal="center" vertical="center" wrapText="1" shrinkToFit="1"/>
      <protection/>
    </xf>
    <xf numFmtId="0" fontId="3" fillId="0" borderId="19" xfId="377" applyFont="1" applyFill="1" applyBorder="1" applyAlignment="1">
      <alignment vertical="center" wrapText="1"/>
      <protection/>
    </xf>
    <xf numFmtId="0" fontId="3" fillId="0" borderId="19" xfId="388" applyFont="1" applyFill="1" applyBorder="1" applyAlignment="1">
      <alignment horizontal="center" vertical="center"/>
      <protection/>
    </xf>
    <xf numFmtId="49" fontId="7" fillId="0" borderId="19" xfId="0" applyNumberFormat="1" applyFont="1" applyFill="1" applyBorder="1" applyAlignment="1">
      <alignment horizontal="center" vertical="center" wrapText="1"/>
    </xf>
    <xf numFmtId="2" fontId="7" fillId="0" borderId="19" xfId="0" applyNumberFormat="1" applyFont="1" applyFill="1" applyBorder="1" applyAlignment="1">
      <alignment horizontal="center" vertical="center" wrapText="1"/>
    </xf>
    <xf numFmtId="0" fontId="3" fillId="0" borderId="0" xfId="0" applyFont="1" applyFill="1" applyAlignment="1">
      <alignment/>
    </xf>
    <xf numFmtId="0" fontId="3" fillId="0" borderId="0" xfId="386" applyFont="1">
      <alignment/>
      <protection/>
    </xf>
    <xf numFmtId="0" fontId="3" fillId="0" borderId="25" xfId="386" applyFont="1" applyBorder="1" applyAlignment="1">
      <alignment horizontal="center"/>
      <protection/>
    </xf>
    <xf numFmtId="49" fontId="36" fillId="0" borderId="0" xfId="381" applyNumberFormat="1" applyFont="1" applyFill="1" applyBorder="1" applyAlignment="1">
      <alignment vertical="center"/>
      <protection/>
    </xf>
    <xf numFmtId="0" fontId="3" fillId="0" borderId="0" xfId="386" applyFont="1" applyAlignment="1">
      <alignment horizontal="center" vertical="top"/>
      <protection/>
    </xf>
    <xf numFmtId="0" fontId="3" fillId="0" borderId="0" xfId="386" applyFont="1" applyBorder="1" applyAlignment="1">
      <alignment horizontal="center"/>
      <protection/>
    </xf>
    <xf numFmtId="0" fontId="3" fillId="0" borderId="38" xfId="386" applyFont="1" applyBorder="1">
      <alignment/>
      <protection/>
    </xf>
    <xf numFmtId="0" fontId="3" fillId="54" borderId="0" xfId="0" applyFont="1" applyFill="1" applyAlignment="1">
      <alignment/>
    </xf>
    <xf numFmtId="0" fontId="63" fillId="0" borderId="19" xfId="0" applyFont="1" applyFill="1" applyBorder="1" applyAlignment="1">
      <alignment horizontal="center" vertical="center"/>
    </xf>
    <xf numFmtId="0" fontId="3" fillId="0" borderId="0" xfId="429" applyFont="1" applyFill="1" applyBorder="1" applyAlignment="1">
      <alignment horizontal="center" vertical="center" wrapText="1"/>
      <protection/>
    </xf>
    <xf numFmtId="0" fontId="7" fillId="0" borderId="0" xfId="381" applyFont="1" applyFill="1" applyBorder="1" applyAlignment="1">
      <alignment horizontal="left"/>
      <protection/>
    </xf>
    <xf numFmtId="0" fontId="3" fillId="0" borderId="0" xfId="381" applyFont="1" applyFill="1" applyBorder="1" applyAlignment="1">
      <alignment horizontal="left"/>
      <protection/>
    </xf>
    <xf numFmtId="0" fontId="36" fillId="0" borderId="0" xfId="381" applyFont="1" applyFill="1" applyBorder="1" applyAlignment="1">
      <alignment horizontal="center" vertical="center" wrapText="1"/>
      <protection/>
    </xf>
    <xf numFmtId="0" fontId="7" fillId="0" borderId="19" xfId="381" applyFont="1" applyFill="1" applyBorder="1" applyAlignment="1">
      <alignment horizontal="center" vertical="center"/>
      <protection/>
    </xf>
    <xf numFmtId="2" fontId="3" fillId="54" borderId="19" xfId="0" applyNumberFormat="1" applyFont="1" applyFill="1" applyBorder="1" applyAlignment="1">
      <alignment horizontal="right" vertical="center" wrapText="1"/>
    </xf>
    <xf numFmtId="2" fontId="3" fillId="0" borderId="19" xfId="0" applyNumberFormat="1" applyFont="1" applyFill="1" applyBorder="1" applyAlignment="1">
      <alignment horizontal="right" vertical="center" wrapText="1"/>
    </xf>
    <xf numFmtId="2" fontId="3" fillId="0" borderId="19" xfId="0" applyNumberFormat="1" applyFont="1" applyFill="1" applyBorder="1" applyAlignment="1">
      <alignment horizontal="right" vertical="center"/>
    </xf>
    <xf numFmtId="2" fontId="3" fillId="54" borderId="19" xfId="0" applyNumberFormat="1" applyFont="1" applyFill="1" applyBorder="1" applyAlignment="1">
      <alignment horizontal="right" vertical="center"/>
    </xf>
    <xf numFmtId="2" fontId="3" fillId="0" borderId="36" xfId="0" applyNumberFormat="1" applyFont="1" applyFill="1" applyBorder="1" applyAlignment="1">
      <alignment horizontal="right" vertical="center"/>
    </xf>
    <xf numFmtId="2" fontId="3" fillId="0" borderId="19" xfId="383" applyNumberFormat="1" applyFont="1" applyFill="1" applyBorder="1" applyAlignment="1">
      <alignment horizontal="right" vertical="center" wrapText="1" shrinkToFit="1"/>
      <protection/>
    </xf>
    <xf numFmtId="2" fontId="3" fillId="54" borderId="19" xfId="377" applyNumberFormat="1" applyFont="1" applyFill="1" applyBorder="1" applyAlignment="1">
      <alignment horizontal="right" vertical="center"/>
      <protection/>
    </xf>
    <xf numFmtId="0" fontId="63" fillId="0" borderId="0" xfId="381" applyFont="1" applyFill="1" applyBorder="1" applyAlignment="1">
      <alignment horizontal="center" vertical="center" wrapText="1"/>
      <protection/>
    </xf>
    <xf numFmtId="0" fontId="63" fillId="0" borderId="0" xfId="381" applyFont="1" applyFill="1" applyAlignment="1">
      <alignment horizontal="left" vertical="center"/>
      <protection/>
    </xf>
    <xf numFmtId="0" fontId="7" fillId="0" borderId="19" xfId="381" applyFont="1" applyFill="1" applyBorder="1" applyAlignment="1">
      <alignment horizontal="center" vertical="center" wrapText="1"/>
      <protection/>
    </xf>
    <xf numFmtId="0" fontId="3" fillId="54" borderId="19" xfId="0" applyFont="1" applyFill="1" applyBorder="1" applyAlignment="1" quotePrefix="1">
      <alignment horizontal="center" vertical="center"/>
    </xf>
    <xf numFmtId="0" fontId="3" fillId="54" borderId="19" xfId="0" applyFont="1" applyFill="1" applyBorder="1" applyAlignment="1">
      <alignment horizontal="right" vertical="center" wrapText="1"/>
    </xf>
    <xf numFmtId="2" fontId="7" fillId="54" borderId="19" xfId="0" applyNumberFormat="1" applyFont="1" applyFill="1" applyBorder="1" applyAlignment="1">
      <alignment horizontal="left" vertical="center" wrapText="1"/>
    </xf>
    <xf numFmtId="0" fontId="3" fillId="54" borderId="19" xfId="383" applyFont="1" applyFill="1" applyBorder="1" applyAlignment="1">
      <alignment horizontal="center" vertical="center" wrapText="1" shrinkToFit="1"/>
      <protection/>
    </xf>
    <xf numFmtId="2" fontId="3" fillId="54" borderId="19" xfId="383" applyNumberFormat="1" applyFont="1" applyFill="1" applyBorder="1" applyAlignment="1">
      <alignment horizontal="center" vertical="center" wrapText="1" shrinkToFit="1"/>
      <protection/>
    </xf>
    <xf numFmtId="0" fontId="7" fillId="54" borderId="19" xfId="0" applyFont="1" applyFill="1" applyBorder="1" applyAlignment="1">
      <alignment horizontal="center" vertical="center" wrapText="1"/>
    </xf>
    <xf numFmtId="0" fontId="7" fillId="54" borderId="19" xfId="429" applyFont="1" applyFill="1" applyBorder="1" applyAlignment="1">
      <alignment horizontal="center" vertical="center" wrapText="1" shrinkToFit="1"/>
      <protection/>
    </xf>
    <xf numFmtId="2" fontId="3" fillId="54" borderId="19" xfId="0" applyNumberFormat="1" applyFont="1" applyFill="1" applyBorder="1" applyAlignment="1">
      <alignment horizontal="left" vertical="center" wrapText="1"/>
    </xf>
    <xf numFmtId="0" fontId="3" fillId="54" borderId="19" xfId="0" applyFont="1" applyFill="1" applyBorder="1" applyAlignment="1">
      <alignment horizontal="center" vertical="center" wrapText="1"/>
    </xf>
    <xf numFmtId="0" fontId="7" fillId="54" borderId="19" xfId="0" applyFont="1" applyFill="1" applyBorder="1" applyAlignment="1">
      <alignment horizontal="left" vertical="center" wrapText="1"/>
    </xf>
    <xf numFmtId="0" fontId="3" fillId="54" borderId="19" xfId="0" applyFont="1" applyFill="1" applyBorder="1" applyAlignment="1" quotePrefix="1">
      <alignment horizontal="center" vertical="center" wrapText="1"/>
    </xf>
    <xf numFmtId="0" fontId="3" fillId="54" borderId="39" xfId="0" applyFont="1" applyFill="1" applyBorder="1" applyAlignment="1">
      <alignment horizontal="left" vertical="center" wrapText="1"/>
    </xf>
    <xf numFmtId="0" fontId="3" fillId="54" borderId="39" xfId="0" applyFont="1" applyFill="1" applyBorder="1" applyAlignment="1">
      <alignment horizontal="center" vertical="center" wrapText="1"/>
    </xf>
    <xf numFmtId="0" fontId="3" fillId="54" borderId="39" xfId="0" applyFont="1" applyFill="1" applyBorder="1" applyAlignment="1">
      <alignment horizontal="right" vertical="center" wrapText="1"/>
    </xf>
    <xf numFmtId="0" fontId="3" fillId="54" borderId="39" xfId="0" applyFont="1" applyFill="1" applyBorder="1" applyAlignment="1">
      <alignment horizontal="center" vertical="center"/>
    </xf>
    <xf numFmtId="2" fontId="3" fillId="54" borderId="40" xfId="0" applyNumberFormat="1" applyFont="1" applyFill="1" applyBorder="1" applyAlignment="1">
      <alignment horizontal="right" vertical="center" wrapText="1"/>
    </xf>
    <xf numFmtId="0" fontId="3" fillId="54" borderId="40" xfId="0" applyFont="1" applyFill="1" applyBorder="1" applyAlignment="1">
      <alignment horizontal="center" vertical="center" wrapText="1"/>
    </xf>
    <xf numFmtId="0" fontId="3" fillId="54" borderId="20" xfId="0" applyFont="1" applyFill="1" applyBorder="1" applyAlignment="1">
      <alignment horizontal="left" vertical="center" wrapText="1"/>
    </xf>
    <xf numFmtId="0" fontId="3" fillId="54" borderId="20" xfId="0" applyFont="1" applyFill="1" applyBorder="1" applyAlignment="1">
      <alignment horizontal="center" vertical="center" wrapText="1"/>
    </xf>
    <xf numFmtId="0" fontId="3" fillId="54" borderId="20" xfId="0" applyFont="1" applyFill="1" applyBorder="1" applyAlignment="1">
      <alignment horizontal="right" vertical="center" wrapText="1"/>
    </xf>
    <xf numFmtId="0" fontId="3" fillId="54" borderId="22" xfId="0" applyFont="1" applyFill="1" applyBorder="1" applyAlignment="1">
      <alignment horizontal="right" vertical="center" wrapText="1"/>
    </xf>
    <xf numFmtId="0" fontId="3" fillId="54" borderId="24" xfId="0" applyFont="1" applyFill="1" applyBorder="1" applyAlignment="1">
      <alignment horizontal="right" vertical="center" wrapText="1"/>
    </xf>
    <xf numFmtId="0" fontId="3" fillId="54" borderId="41" xfId="0" applyFont="1" applyFill="1" applyBorder="1" applyAlignment="1">
      <alignment horizontal="center" vertical="center" wrapText="1"/>
    </xf>
    <xf numFmtId="0" fontId="3" fillId="54" borderId="19" xfId="0" applyFont="1" applyFill="1" applyBorder="1" applyAlignment="1">
      <alignment horizontal="left" vertical="center" wrapText="1"/>
    </xf>
    <xf numFmtId="0" fontId="3" fillId="54" borderId="24" xfId="0" applyFont="1" applyFill="1" applyBorder="1" applyAlignment="1">
      <alignment horizontal="center" vertical="center" wrapText="1"/>
    </xf>
    <xf numFmtId="0" fontId="3" fillId="54" borderId="22" xfId="0" applyFont="1" applyFill="1" applyBorder="1" applyAlignment="1">
      <alignment horizontal="left" vertical="center" wrapText="1"/>
    </xf>
    <xf numFmtId="0" fontId="3" fillId="54" borderId="22" xfId="0" applyFont="1" applyFill="1" applyBorder="1" applyAlignment="1">
      <alignment horizontal="center" vertical="center" wrapText="1"/>
    </xf>
    <xf numFmtId="0" fontId="7" fillId="54" borderId="19" xfId="429" applyFont="1" applyFill="1" applyBorder="1" applyAlignment="1">
      <alignment vertical="center" wrapText="1" shrinkToFit="1"/>
      <protection/>
    </xf>
    <xf numFmtId="0" fontId="3" fillId="0" borderId="20" xfId="0" applyFont="1" applyFill="1" applyBorder="1" applyAlignment="1">
      <alignment horizontal="right" vertical="center" wrapText="1"/>
    </xf>
    <xf numFmtId="0" fontId="3" fillId="0" borderId="20" xfId="0" applyFont="1" applyFill="1" applyBorder="1" applyAlignment="1">
      <alignment horizontal="center" vertical="center" wrapText="1"/>
    </xf>
    <xf numFmtId="0" fontId="3" fillId="54" borderId="24" xfId="0" applyFont="1" applyFill="1" applyBorder="1" applyAlignment="1" quotePrefix="1">
      <alignment horizontal="center" vertical="center" wrapText="1"/>
    </xf>
    <xf numFmtId="0" fontId="3" fillId="0" borderId="22" xfId="0" applyFont="1" applyFill="1" applyBorder="1" applyAlignment="1">
      <alignment horizontal="right"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right" vertical="center" wrapText="1"/>
    </xf>
    <xf numFmtId="0" fontId="7" fillId="54" borderId="19" xfId="0" applyFont="1" applyFill="1" applyBorder="1" applyAlignment="1">
      <alignment/>
    </xf>
    <xf numFmtId="0" fontId="3" fillId="54" borderId="19" xfId="0" applyFont="1" applyFill="1" applyBorder="1" applyAlignment="1">
      <alignment horizontal="center"/>
    </xf>
    <xf numFmtId="0" fontId="3" fillId="54" borderId="19" xfId="429" applyFont="1" applyFill="1" applyBorder="1" applyAlignment="1">
      <alignment vertical="center" wrapText="1" shrinkToFit="1"/>
      <protection/>
    </xf>
    <xf numFmtId="0" fontId="3" fillId="54" borderId="19" xfId="429" applyFont="1" applyFill="1" applyBorder="1" applyAlignment="1">
      <alignment horizontal="center" vertical="center" wrapText="1" shrinkToFit="1"/>
      <protection/>
    </xf>
    <xf numFmtId="2" fontId="7" fillId="0" borderId="19" xfId="0" applyNumberFormat="1" applyFont="1" applyFill="1" applyBorder="1" applyAlignment="1">
      <alignment/>
    </xf>
    <xf numFmtId="0" fontId="3" fillId="0" borderId="19" xfId="429" applyFont="1" applyFill="1" applyBorder="1" applyAlignment="1">
      <alignment horizontal="center" vertical="center" wrapText="1"/>
      <protection/>
    </xf>
    <xf numFmtId="0" fontId="3" fillId="54" borderId="19" xfId="429" applyFont="1" applyFill="1" applyBorder="1" applyAlignment="1">
      <alignment horizontal="center" vertical="center" wrapText="1"/>
      <protection/>
    </xf>
    <xf numFmtId="0" fontId="3" fillId="0" borderId="0" xfId="386" applyFont="1" applyBorder="1">
      <alignment/>
      <protection/>
    </xf>
    <xf numFmtId="0" fontId="3" fillId="0" borderId="0" xfId="381" applyFont="1" applyFill="1" applyBorder="1" applyAlignment="1">
      <alignment horizontal="left" vertical="center"/>
      <protection/>
    </xf>
    <xf numFmtId="0" fontId="3" fillId="0" borderId="0" xfId="381" applyFont="1" applyFill="1" applyBorder="1" applyAlignment="1">
      <alignment horizontal="center" vertical="center" wrapText="1"/>
      <protection/>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right" vertical="center" wrapText="1"/>
    </xf>
    <xf numFmtId="2" fontId="7" fillId="0" borderId="0" xfId="0" applyNumberFormat="1" applyFont="1" applyFill="1" applyBorder="1" applyAlignment="1">
      <alignment horizontal="center" vertical="center" wrapText="1"/>
    </xf>
    <xf numFmtId="2" fontId="3" fillId="54" borderId="39" xfId="0" applyNumberFormat="1" applyFont="1" applyFill="1" applyBorder="1" applyAlignment="1">
      <alignment horizontal="right" vertical="center" wrapText="1"/>
    </xf>
    <xf numFmtId="2" fontId="3" fillId="54" borderId="39" xfId="0" applyNumberFormat="1" applyFont="1" applyFill="1" applyBorder="1" applyAlignment="1">
      <alignment horizontal="right" vertical="center"/>
    </xf>
    <xf numFmtId="2" fontId="3" fillId="54" borderId="20" xfId="0" applyNumberFormat="1" applyFont="1" applyFill="1" applyBorder="1" applyAlignment="1">
      <alignment horizontal="right" vertical="center" wrapText="1"/>
    </xf>
    <xf numFmtId="2" fontId="3" fillId="54" borderId="22" xfId="0" applyNumberFormat="1" applyFont="1" applyFill="1" applyBorder="1" applyAlignment="1">
      <alignment horizontal="right" vertical="center" wrapText="1"/>
    </xf>
    <xf numFmtId="2" fontId="3" fillId="0" borderId="20" xfId="0" applyNumberFormat="1" applyFont="1" applyFill="1" applyBorder="1" applyAlignment="1">
      <alignment horizontal="right" vertical="center" wrapText="1"/>
    </xf>
    <xf numFmtId="2" fontId="3" fillId="0" borderId="22" xfId="0" applyNumberFormat="1" applyFont="1" applyFill="1" applyBorder="1" applyAlignment="1">
      <alignment horizontal="right" vertical="center" wrapText="1"/>
    </xf>
    <xf numFmtId="2" fontId="3" fillId="54" borderId="19" xfId="429" applyNumberFormat="1" applyFont="1" applyFill="1" applyBorder="1" applyAlignment="1">
      <alignment horizontal="right" vertical="center"/>
      <protection/>
    </xf>
    <xf numFmtId="0" fontId="3" fillId="54" borderId="19" xfId="429" applyFont="1" applyFill="1" applyBorder="1" applyAlignment="1">
      <alignment horizontal="right" vertical="center" wrapText="1"/>
      <protection/>
    </xf>
    <xf numFmtId="2" fontId="7" fillId="54" borderId="19" xfId="0" applyNumberFormat="1" applyFont="1" applyFill="1" applyBorder="1" applyAlignment="1">
      <alignment horizontal="right" vertical="center" wrapText="1"/>
    </xf>
    <xf numFmtId="2" fontId="3" fillId="54" borderId="19" xfId="0" applyNumberFormat="1" applyFont="1" applyFill="1" applyBorder="1" applyAlignment="1">
      <alignment horizontal="right"/>
    </xf>
    <xf numFmtId="2" fontId="3" fillId="54" borderId="19" xfId="429" applyNumberFormat="1" applyFont="1" applyFill="1" applyBorder="1" applyAlignment="1">
      <alignment horizontal="right" vertical="center" wrapText="1"/>
      <protection/>
    </xf>
    <xf numFmtId="2" fontId="3" fillId="0" borderId="19" xfId="0" applyNumberFormat="1" applyFont="1" applyFill="1" applyBorder="1" applyAlignment="1">
      <alignment horizontal="right" vertical="center" wrapText="1"/>
    </xf>
    <xf numFmtId="2" fontId="3" fillId="0" borderId="19" xfId="0" applyNumberFormat="1" applyFont="1" applyFill="1" applyBorder="1" applyAlignment="1">
      <alignment horizontal="right" vertical="center"/>
    </xf>
    <xf numFmtId="2" fontId="3" fillId="54" borderId="19" xfId="0" applyNumberFormat="1" applyFont="1" applyFill="1" applyBorder="1" applyAlignment="1">
      <alignment horizontal="right" vertical="center" wrapText="1"/>
    </xf>
    <xf numFmtId="2" fontId="3" fillId="0" borderId="19" xfId="0" applyNumberFormat="1" applyFont="1" applyFill="1" applyBorder="1" applyAlignment="1">
      <alignment horizontal="right" vertical="center" wrapText="1" shrinkToFit="1"/>
    </xf>
    <xf numFmtId="2" fontId="3" fillId="0" borderId="19" xfId="429" applyNumberFormat="1" applyFont="1" applyFill="1" applyBorder="1" applyAlignment="1">
      <alignment horizontal="right" vertical="center"/>
      <protection/>
    </xf>
    <xf numFmtId="2" fontId="3" fillId="54" borderId="19" xfId="429" applyNumberFormat="1" applyFont="1" applyFill="1" applyBorder="1" applyAlignment="1">
      <alignment horizontal="right" vertical="center" wrapText="1"/>
      <protection/>
    </xf>
    <xf numFmtId="2" fontId="3" fillId="54" borderId="19" xfId="383" applyNumberFormat="1" applyFont="1" applyFill="1" applyBorder="1" applyAlignment="1">
      <alignment horizontal="right" vertical="center" wrapText="1" shrinkToFit="1"/>
      <protection/>
    </xf>
    <xf numFmtId="0" fontId="7" fillId="0" borderId="19" xfId="0" applyFont="1" applyFill="1" applyBorder="1" applyAlignment="1">
      <alignment horizontal="center" vertical="center" wrapText="1"/>
    </xf>
    <xf numFmtId="0" fontId="3" fillId="0" borderId="19" xfId="429" applyFont="1" applyFill="1" applyBorder="1" applyAlignment="1">
      <alignment horizontal="right" vertical="center" wrapText="1" shrinkToFit="1"/>
      <protection/>
    </xf>
    <xf numFmtId="0" fontId="3" fillId="0" borderId="19" xfId="0" applyFont="1" applyFill="1" applyBorder="1" applyAlignment="1">
      <alignment vertical="center" wrapText="1"/>
    </xf>
    <xf numFmtId="0" fontId="3" fillId="0" borderId="19" xfId="388" applyFont="1" applyFill="1" applyBorder="1" applyAlignment="1">
      <alignment horizontal="left" vertical="center" wrapText="1"/>
      <protection/>
    </xf>
    <xf numFmtId="0" fontId="3" fillId="0" borderId="19" xfId="0" applyFont="1" applyFill="1" applyBorder="1" applyAlignment="1" quotePrefix="1">
      <alignment horizontal="center" vertical="center" wrapText="1"/>
    </xf>
    <xf numFmtId="2" fontId="3" fillId="54" borderId="19" xfId="383" applyNumberFormat="1" applyFont="1" applyFill="1" applyBorder="1" applyAlignment="1">
      <alignment horizontal="right" vertical="center" wrapText="1" shrinkToFit="1"/>
      <protection/>
    </xf>
    <xf numFmtId="0" fontId="3" fillId="0" borderId="24" xfId="0" applyFont="1" applyFill="1" applyBorder="1" applyAlignment="1" quotePrefix="1">
      <alignment horizontal="center" vertical="center" wrapText="1"/>
    </xf>
    <xf numFmtId="0" fontId="3" fillId="0" borderId="24" xfId="388" applyFont="1" applyFill="1" applyBorder="1" applyAlignment="1">
      <alignment horizontal="left" vertical="center" wrapText="1"/>
      <protection/>
    </xf>
    <xf numFmtId="2" fontId="3" fillId="54" borderId="24" xfId="0" applyNumberFormat="1" applyFont="1" applyFill="1" applyBorder="1" applyAlignment="1">
      <alignment horizontal="right" vertical="center" wrapText="1"/>
    </xf>
    <xf numFmtId="0" fontId="3" fillId="54" borderId="19" xfId="0" applyFont="1" applyFill="1" applyBorder="1" applyAlignment="1">
      <alignment vertical="center" wrapText="1"/>
    </xf>
    <xf numFmtId="0" fontId="3" fillId="0" borderId="19" xfId="0" applyFont="1" applyFill="1" applyBorder="1" applyAlignment="1">
      <alignment horizontal="center" vertical="center" wrapText="1" shrinkToFit="1"/>
    </xf>
    <xf numFmtId="2" fontId="3" fillId="54" borderId="19" xfId="0" applyNumberFormat="1" applyFont="1" applyFill="1" applyBorder="1" applyAlignment="1">
      <alignment horizontal="right" vertical="center" wrapText="1" shrinkToFit="1"/>
    </xf>
    <xf numFmtId="0" fontId="3" fillId="54" borderId="0" xfId="0" applyFont="1" applyFill="1" applyBorder="1" applyAlignment="1">
      <alignment/>
    </xf>
    <xf numFmtId="0" fontId="3" fillId="54" borderId="19" xfId="431" applyFont="1" applyFill="1" applyBorder="1" applyAlignment="1">
      <alignment horizontal="left" vertical="center" wrapText="1" shrinkToFit="1"/>
      <protection/>
    </xf>
    <xf numFmtId="0" fontId="3" fillId="54" borderId="19" xfId="431" applyFont="1" applyFill="1" applyBorder="1" applyAlignment="1">
      <alignment horizontal="center" vertical="center" wrapText="1" shrinkToFit="1"/>
      <protection/>
    </xf>
    <xf numFmtId="0" fontId="3" fillId="0" borderId="19" xfId="0" applyFont="1" applyFill="1" applyBorder="1" applyAlignment="1">
      <alignment horizontal="center" vertical="top" wrapText="1"/>
    </xf>
    <xf numFmtId="1" fontId="3" fillId="54" borderId="19" xfId="0" applyNumberFormat="1" applyFont="1" applyFill="1" applyBorder="1" applyAlignment="1">
      <alignment horizontal="right" vertical="center"/>
    </xf>
    <xf numFmtId="49" fontId="3" fillId="0" borderId="0" xfId="381" applyNumberFormat="1" applyFont="1" applyFill="1" applyBorder="1" applyAlignment="1">
      <alignment vertical="center"/>
      <protection/>
    </xf>
    <xf numFmtId="0" fontId="7" fillId="0" borderId="19" xfId="0" applyFont="1" applyBorder="1" applyAlignment="1">
      <alignment horizontal="center" wrapText="1"/>
    </xf>
    <xf numFmtId="0" fontId="7" fillId="0" borderId="19" xfId="429" applyFont="1" applyFill="1" applyBorder="1" applyAlignment="1">
      <alignment horizontal="left" vertical="center" wrapText="1" shrinkToFit="1"/>
      <protection/>
    </xf>
    <xf numFmtId="0" fontId="3" fillId="0" borderId="19" xfId="0" applyFont="1" applyFill="1" applyBorder="1" applyAlignment="1" quotePrefix="1">
      <alignment horizontal="right" vertical="center" wrapText="1"/>
    </xf>
    <xf numFmtId="0" fontId="3" fillId="0" borderId="36" xfId="0" applyFont="1" applyFill="1" applyBorder="1" applyAlignment="1">
      <alignment wrapText="1"/>
    </xf>
    <xf numFmtId="2" fontId="3" fillId="0" borderId="21" xfId="0" applyNumberFormat="1" applyFont="1" applyFill="1" applyBorder="1" applyAlignment="1">
      <alignment horizontal="right" vertical="center" wrapText="1"/>
    </xf>
    <xf numFmtId="0" fontId="7" fillId="0" borderId="19" xfId="429" applyFont="1" applyFill="1" applyBorder="1" applyAlignment="1">
      <alignment vertical="center" wrapText="1" shrinkToFit="1"/>
      <protection/>
    </xf>
    <xf numFmtId="0" fontId="3" fillId="0" borderId="19" xfId="0" applyFont="1" applyFill="1" applyBorder="1" applyAlignment="1">
      <alignment wrapText="1"/>
    </xf>
    <xf numFmtId="0" fontId="7" fillId="0" borderId="19" xfId="0" applyFont="1" applyFill="1" applyBorder="1" applyAlignment="1" quotePrefix="1">
      <alignment horizontal="center" vertical="center" wrapText="1"/>
    </xf>
    <xf numFmtId="0" fontId="3" fillId="0" borderId="19" xfId="429" applyFont="1" applyFill="1" applyBorder="1" applyAlignment="1" quotePrefix="1">
      <alignment horizontal="right" vertical="center" wrapText="1" shrinkToFit="1"/>
      <protection/>
    </xf>
    <xf numFmtId="2" fontId="3" fillId="0" borderId="19" xfId="0" applyNumberFormat="1" applyFont="1" applyFill="1" applyBorder="1" applyAlignment="1">
      <alignment horizontal="right" vertical="center" wrapText="1" shrinkToFit="1"/>
    </xf>
    <xf numFmtId="2" fontId="3" fillId="0" borderId="19" xfId="429" applyNumberFormat="1" applyFont="1" applyFill="1" applyBorder="1" applyAlignment="1">
      <alignment horizontal="right" vertical="center"/>
      <protection/>
    </xf>
    <xf numFmtId="0" fontId="3" fillId="0" borderId="19" xfId="0" applyFont="1" applyFill="1" applyBorder="1" applyAlignment="1">
      <alignment vertical="center" wrapText="1" shrinkToFit="1"/>
    </xf>
    <xf numFmtId="0" fontId="3" fillId="0" borderId="19" xfId="0" applyFont="1" applyFill="1" applyBorder="1" applyAlignment="1">
      <alignment horizontal="right" vertical="center" wrapText="1" shrinkToFit="1"/>
    </xf>
    <xf numFmtId="0" fontId="3" fillId="0" borderId="19" xfId="0" applyFont="1" applyFill="1" applyBorder="1" applyAlignment="1">
      <alignment horizontal="right" vertical="center"/>
    </xf>
    <xf numFmtId="17" fontId="3" fillId="0" borderId="19" xfId="0" applyNumberFormat="1" applyFont="1" applyFill="1" applyBorder="1" applyAlignment="1" quotePrefix="1">
      <alignment horizontal="center" vertical="center" wrapText="1"/>
    </xf>
    <xf numFmtId="0" fontId="7" fillId="0" borderId="19" xfId="0" applyFont="1" applyFill="1" applyBorder="1" applyAlignment="1">
      <alignment horizontal="left" vertical="center" wrapText="1" shrinkToFit="1"/>
    </xf>
    <xf numFmtId="0" fontId="3" fillId="54" borderId="19" xfId="0" applyFont="1" applyFill="1" applyBorder="1" applyAlignment="1">
      <alignment horizontal="center" vertical="center"/>
    </xf>
    <xf numFmtId="0" fontId="3" fillId="0" borderId="19" xfId="376" applyFont="1" applyFill="1" applyBorder="1" applyAlignment="1">
      <alignment horizontal="left" vertical="center" wrapText="1"/>
      <protection/>
    </xf>
    <xf numFmtId="0" fontId="3" fillId="0" borderId="19" xfId="376" applyFont="1" applyFill="1" applyBorder="1" applyAlignment="1">
      <alignment horizontal="center" vertical="center" wrapText="1"/>
      <protection/>
    </xf>
    <xf numFmtId="0" fontId="3" fillId="0" borderId="0" xfId="0" applyFont="1" applyFill="1" applyBorder="1" applyAlignment="1">
      <alignment vertical="center"/>
    </xf>
    <xf numFmtId="0" fontId="3" fillId="0" borderId="19" xfId="376" applyFont="1" applyFill="1" applyBorder="1" applyAlignment="1">
      <alignment horizontal="right" vertical="center" wrapText="1"/>
      <protection/>
    </xf>
    <xf numFmtId="49" fontId="3" fillId="0" borderId="19" xfId="0" applyNumberFormat="1" applyFont="1" applyFill="1" applyBorder="1" applyAlignment="1" quotePrefix="1">
      <alignment horizontal="center" vertical="center"/>
    </xf>
    <xf numFmtId="0" fontId="7" fillId="0" borderId="19" xfId="0" applyFont="1" applyFill="1" applyBorder="1" applyAlignment="1">
      <alignment horizontal="left" vertical="center" wrapText="1"/>
    </xf>
    <xf numFmtId="0" fontId="3" fillId="0" borderId="19" xfId="0" applyFont="1" applyFill="1" applyBorder="1" applyAlignment="1">
      <alignment horizontal="center" vertical="justify"/>
    </xf>
    <xf numFmtId="0" fontId="3" fillId="0" borderId="19" xfId="379" applyFont="1" applyFill="1" applyBorder="1" applyAlignment="1">
      <alignment horizontal="right" vertical="center" wrapText="1" shrinkToFit="1"/>
      <protection/>
    </xf>
    <xf numFmtId="0" fontId="63" fillId="0" borderId="19" xfId="0" applyFont="1" applyFill="1" applyBorder="1" applyAlignment="1">
      <alignment horizontal="center" vertical="center" wrapText="1" shrinkToFit="1"/>
    </xf>
    <xf numFmtId="0" fontId="3" fillId="54" borderId="19" xfId="378" applyFont="1" applyFill="1" applyBorder="1" applyAlignment="1">
      <alignment horizontal="left" vertical="center" wrapText="1"/>
      <protection/>
    </xf>
    <xf numFmtId="0" fontId="3" fillId="54" borderId="19" xfId="378" applyFont="1" applyFill="1" applyBorder="1" applyAlignment="1">
      <alignment horizontal="center" vertical="center"/>
      <protection/>
    </xf>
    <xf numFmtId="0" fontId="3" fillId="54" borderId="19" xfId="378" applyFont="1" applyFill="1" applyBorder="1" applyAlignment="1">
      <alignment horizontal="right" vertical="center" wrapText="1"/>
      <protection/>
    </xf>
    <xf numFmtId="0" fontId="3" fillId="0" borderId="19" xfId="378" applyFont="1" applyFill="1" applyBorder="1" applyAlignment="1">
      <alignment horizontal="left" vertical="center" wrapText="1"/>
      <protection/>
    </xf>
    <xf numFmtId="0" fontId="3" fillId="0" borderId="19" xfId="378" applyFont="1" applyFill="1" applyBorder="1" applyAlignment="1">
      <alignment horizontal="center" vertical="center"/>
      <protection/>
    </xf>
    <xf numFmtId="0" fontId="3" fillId="0" borderId="19" xfId="378" applyFont="1" applyFill="1" applyBorder="1" applyAlignment="1">
      <alignment horizontal="right" vertical="center" wrapText="1"/>
      <protection/>
    </xf>
    <xf numFmtId="0" fontId="3" fillId="0" borderId="19" xfId="379" applyFont="1" applyFill="1" applyBorder="1" applyAlignment="1">
      <alignment horizontal="left" vertical="center" wrapText="1"/>
      <protection/>
    </xf>
    <xf numFmtId="0" fontId="3" fillId="0" borderId="19" xfId="379" applyFont="1" applyFill="1" applyBorder="1" applyAlignment="1">
      <alignment horizontal="center" vertical="center" wrapText="1"/>
      <protection/>
    </xf>
    <xf numFmtId="0" fontId="3" fillId="54" borderId="19" xfId="431" applyFont="1" applyFill="1" applyBorder="1" applyAlignment="1">
      <alignment horizontal="right" vertical="center" wrapText="1" shrinkToFit="1"/>
      <protection/>
    </xf>
    <xf numFmtId="0" fontId="3" fillId="54" borderId="19" xfId="431" applyFont="1" applyFill="1" applyBorder="1" applyAlignment="1">
      <alignment vertical="center" wrapText="1" shrinkToFit="1"/>
      <protection/>
    </xf>
    <xf numFmtId="0" fontId="3" fillId="0" borderId="36" xfId="0" applyFont="1" applyFill="1" applyBorder="1" applyAlignment="1" quotePrefix="1">
      <alignment horizontal="center" vertical="center" wrapText="1"/>
    </xf>
    <xf numFmtId="0" fontId="3" fillId="54" borderId="24" xfId="0" applyFont="1" applyFill="1" applyBorder="1" applyAlignment="1">
      <alignment horizontal="left" vertical="center" wrapText="1"/>
    </xf>
    <xf numFmtId="2" fontId="3" fillId="54" borderId="24" xfId="0" applyNumberFormat="1" applyFont="1" applyFill="1" applyBorder="1" applyAlignment="1">
      <alignment horizontal="center" vertical="center" wrapText="1"/>
    </xf>
    <xf numFmtId="2" fontId="63" fillId="0" borderId="19" xfId="0" applyNumberFormat="1" applyFont="1" applyFill="1" applyBorder="1" applyAlignment="1">
      <alignment horizontal="right" vertical="center"/>
    </xf>
    <xf numFmtId="2" fontId="3" fillId="54" borderId="19" xfId="378" applyNumberFormat="1" applyFont="1" applyFill="1" applyBorder="1" applyAlignment="1">
      <alignment horizontal="right" vertical="center"/>
      <protection/>
    </xf>
    <xf numFmtId="2" fontId="3" fillId="54" borderId="19" xfId="379" applyNumberFormat="1" applyFont="1" applyFill="1" applyBorder="1" applyAlignment="1">
      <alignment horizontal="right" vertical="center" wrapText="1"/>
      <protection/>
    </xf>
    <xf numFmtId="2" fontId="3" fillId="54" borderId="19" xfId="431" applyNumberFormat="1" applyFont="1" applyFill="1" applyBorder="1" applyAlignment="1">
      <alignment horizontal="right" vertical="center"/>
      <protection/>
    </xf>
    <xf numFmtId="170" fontId="3" fillId="0" borderId="19" xfId="0" applyNumberFormat="1" applyFont="1" applyFill="1" applyBorder="1" applyAlignment="1">
      <alignment horizontal="center" vertical="center"/>
    </xf>
    <xf numFmtId="1" fontId="3" fillId="0" borderId="19" xfId="0" applyNumberFormat="1" applyFont="1" applyFill="1" applyBorder="1" applyAlignment="1">
      <alignment horizontal="center" vertical="center"/>
    </xf>
    <xf numFmtId="170" fontId="3" fillId="0" borderId="19" xfId="0" applyNumberFormat="1" applyFont="1" applyFill="1" applyBorder="1" applyAlignment="1">
      <alignment horizontal="right" vertical="center"/>
    </xf>
    <xf numFmtId="1" fontId="3" fillId="0" borderId="19" xfId="0" applyNumberFormat="1" applyFont="1" applyFill="1" applyBorder="1" applyAlignment="1">
      <alignment horizontal="right" vertical="center"/>
    </xf>
    <xf numFmtId="0" fontId="3" fillId="0" borderId="19" xfId="359" applyFont="1" applyFill="1" applyBorder="1" applyAlignment="1">
      <alignment horizontal="left" vertical="center" wrapText="1"/>
      <protection/>
    </xf>
    <xf numFmtId="0" fontId="3" fillId="0" borderId="19" xfId="359" applyFont="1" applyFill="1" applyBorder="1" applyAlignment="1">
      <alignment horizontal="center" vertical="center" wrapText="1"/>
      <protection/>
    </xf>
    <xf numFmtId="0" fontId="3" fillId="0" borderId="19" xfId="350" applyFont="1" applyFill="1" applyBorder="1" applyAlignment="1">
      <alignment horizontal="center" vertical="center" wrapText="1"/>
      <protection/>
    </xf>
    <xf numFmtId="0" fontId="3" fillId="54" borderId="0" xfId="0" applyFont="1" applyFill="1" applyBorder="1" applyAlignment="1">
      <alignment vertical="center"/>
    </xf>
    <xf numFmtId="0" fontId="3" fillId="0" borderId="19" xfId="359" applyFont="1" applyFill="1" applyBorder="1" applyAlignment="1">
      <alignment horizontal="left" wrapText="1"/>
      <protection/>
    </xf>
    <xf numFmtId="0" fontId="3" fillId="0" borderId="36" xfId="359" applyFont="1" applyFill="1" applyBorder="1" applyAlignment="1">
      <alignment horizontal="center" vertical="center" wrapText="1"/>
      <protection/>
    </xf>
    <xf numFmtId="0" fontId="3" fillId="0" borderId="19" xfId="313" applyFont="1" applyFill="1" applyBorder="1" applyAlignment="1">
      <alignment horizontal="left" vertical="center" wrapText="1"/>
      <protection/>
    </xf>
    <xf numFmtId="0" fontId="3" fillId="54" borderId="19" xfId="359" applyFont="1" applyFill="1" applyBorder="1" applyAlignment="1">
      <alignment horizontal="left" vertical="center" wrapText="1"/>
      <protection/>
    </xf>
    <xf numFmtId="0" fontId="3" fillId="54" borderId="36" xfId="359" applyFont="1" applyFill="1" applyBorder="1" applyAlignment="1">
      <alignment horizontal="center" vertical="center" wrapText="1"/>
      <protection/>
    </xf>
    <xf numFmtId="0" fontId="3" fillId="54" borderId="19" xfId="350" applyFont="1" applyFill="1" applyBorder="1" applyAlignment="1">
      <alignment horizontal="center" vertical="center" wrapText="1"/>
      <protection/>
    </xf>
    <xf numFmtId="0" fontId="7" fillId="0" borderId="19" xfId="0" applyFont="1" applyFill="1" applyBorder="1" applyAlignment="1">
      <alignment vertical="center" wrapText="1"/>
    </xf>
    <xf numFmtId="0" fontId="7" fillId="0" borderId="19" xfId="0" applyFont="1" applyBorder="1" applyAlignment="1">
      <alignment vertical="center" wrapText="1"/>
    </xf>
    <xf numFmtId="0" fontId="7" fillId="54" borderId="19" xfId="351" applyFont="1" applyFill="1" applyBorder="1" applyAlignment="1">
      <alignment horizontal="left" vertical="center" wrapText="1"/>
      <protection/>
    </xf>
    <xf numFmtId="0" fontId="3" fillId="54" borderId="19" xfId="351" applyFont="1" applyFill="1" applyBorder="1" applyAlignment="1">
      <alignment horizontal="center" vertical="center"/>
      <protection/>
    </xf>
    <xf numFmtId="0" fontId="3" fillId="54" borderId="19" xfId="351" applyFont="1" applyFill="1" applyBorder="1" applyAlignment="1">
      <alignment horizontal="center" vertical="center" wrapText="1"/>
      <protection/>
    </xf>
    <xf numFmtId="0" fontId="3" fillId="0" borderId="19" xfId="437" applyFont="1" applyFill="1" applyBorder="1" applyAlignment="1">
      <alignment horizontal="left" vertical="center" wrapText="1"/>
      <protection/>
    </xf>
    <xf numFmtId="0" fontId="3" fillId="0" borderId="19" xfId="385" applyNumberFormat="1" applyFont="1" applyFill="1" applyBorder="1" applyAlignment="1">
      <alignment horizontal="center" vertical="center"/>
      <protection/>
    </xf>
    <xf numFmtId="2" fontId="3" fillId="0" borderId="19" xfId="385" applyNumberFormat="1" applyFont="1" applyFill="1" applyBorder="1" applyAlignment="1">
      <alignment horizontal="center" vertical="center"/>
      <protection/>
    </xf>
    <xf numFmtId="2" fontId="7" fillId="0" borderId="19" xfId="0" applyNumberFormat="1" applyFont="1" applyFill="1" applyBorder="1" applyAlignment="1">
      <alignment vertical="center"/>
    </xf>
    <xf numFmtId="0" fontId="3" fillId="54" borderId="24" xfId="0" applyFont="1" applyFill="1" applyBorder="1" applyAlignment="1" quotePrefix="1">
      <alignment horizontal="center" vertical="center"/>
    </xf>
    <xf numFmtId="2" fontId="3" fillId="54" borderId="24" xfId="0" applyNumberFormat="1" applyFont="1" applyFill="1" applyBorder="1" applyAlignment="1">
      <alignment horizontal="center" vertical="center"/>
    </xf>
    <xf numFmtId="0" fontId="3" fillId="0" borderId="19" xfId="350" applyFont="1" applyFill="1" applyBorder="1" applyAlignment="1">
      <alignment horizontal="left" wrapText="1"/>
      <protection/>
    </xf>
    <xf numFmtId="0" fontId="3" fillId="0" borderId="19" xfId="350" applyFont="1" applyFill="1" applyBorder="1" applyAlignment="1">
      <alignment horizontal="center" vertical="center"/>
      <protection/>
    </xf>
    <xf numFmtId="0" fontId="3" fillId="0" borderId="19" xfId="351" applyFont="1" applyFill="1" applyBorder="1" applyAlignment="1">
      <alignment horizontal="left" vertical="center" wrapText="1"/>
      <protection/>
    </xf>
    <xf numFmtId="0" fontId="3" fillId="0" borderId="19" xfId="351" applyFont="1" applyFill="1" applyBorder="1" applyAlignment="1">
      <alignment horizontal="center" vertical="center"/>
      <protection/>
    </xf>
    <xf numFmtId="0" fontId="3" fillId="0" borderId="19" xfId="351" applyFont="1" applyFill="1" applyBorder="1" applyAlignment="1">
      <alignment horizontal="center" vertical="center" wrapText="1"/>
      <protection/>
    </xf>
    <xf numFmtId="0" fontId="7" fillId="0" borderId="19" xfId="0" applyFont="1" applyBorder="1" applyAlignment="1">
      <alignment vertical="center"/>
    </xf>
    <xf numFmtId="0" fontId="3" fillId="0" borderId="19" xfId="352" applyFont="1" applyFill="1" applyBorder="1" applyAlignment="1">
      <alignment horizontal="left" vertical="center" wrapText="1"/>
      <protection/>
    </xf>
    <xf numFmtId="0" fontId="3" fillId="0" borderId="19" xfId="352" applyFont="1" applyFill="1" applyBorder="1" applyAlignment="1">
      <alignment horizontal="center" vertical="center"/>
      <protection/>
    </xf>
    <xf numFmtId="0" fontId="3" fillId="0" borderId="19" xfId="351" applyFont="1" applyFill="1" applyBorder="1" applyAlignment="1">
      <alignment horizontal="left" wrapText="1"/>
      <protection/>
    </xf>
    <xf numFmtId="0" fontId="3" fillId="54" borderId="19" xfId="351" applyFont="1" applyFill="1" applyBorder="1" applyAlignment="1">
      <alignment horizontal="left" wrapText="1"/>
      <protection/>
    </xf>
    <xf numFmtId="0" fontId="3" fillId="0" borderId="19" xfId="429" applyFont="1" applyFill="1" applyBorder="1" applyAlignment="1">
      <alignment vertical="center" wrapText="1"/>
      <protection/>
    </xf>
    <xf numFmtId="0" fontId="7" fillId="54" borderId="19" xfId="0" applyFont="1" applyFill="1" applyBorder="1" applyAlignment="1" quotePrefix="1">
      <alignment horizontal="center" vertical="center"/>
    </xf>
    <xf numFmtId="0" fontId="3" fillId="54" borderId="19" xfId="351" applyFont="1" applyFill="1" applyBorder="1" applyAlignment="1">
      <alignment horizontal="left" vertical="center" wrapText="1"/>
      <protection/>
    </xf>
    <xf numFmtId="0" fontId="3" fillId="0" borderId="24" xfId="0" applyFont="1" applyFill="1" applyBorder="1" applyAlignment="1">
      <alignment horizontal="center" vertical="center" wrapText="1"/>
    </xf>
    <xf numFmtId="0" fontId="3" fillId="0" borderId="19" xfId="0" applyFont="1" applyBorder="1" applyAlignment="1">
      <alignment vertical="center" wrapText="1"/>
    </xf>
    <xf numFmtId="0" fontId="3" fillId="0" borderId="19" xfId="0" applyFont="1" applyBorder="1" applyAlignment="1">
      <alignment/>
    </xf>
    <xf numFmtId="0" fontId="3" fillId="0" borderId="19" xfId="0" applyFont="1" applyBorder="1" applyAlignment="1">
      <alignment wrapText="1"/>
    </xf>
    <xf numFmtId="0" fontId="3" fillId="54" borderId="19" xfId="0" applyFont="1" applyFill="1" applyBorder="1" applyAlignment="1">
      <alignment/>
    </xf>
    <xf numFmtId="0" fontId="3" fillId="0" borderId="19" xfId="0" applyFont="1" applyFill="1" applyBorder="1" applyAlignment="1">
      <alignment horizontal="center"/>
    </xf>
    <xf numFmtId="0" fontId="7" fillId="54" borderId="19" xfId="0" applyFont="1" applyFill="1" applyBorder="1" applyAlignment="1">
      <alignment wrapText="1"/>
    </xf>
    <xf numFmtId="0" fontId="3" fillId="0" borderId="19" xfId="0" applyFont="1" applyBorder="1" applyAlignment="1">
      <alignment horizontal="center" vertical="center"/>
    </xf>
    <xf numFmtId="0" fontId="7" fillId="0" borderId="19" xfId="0" applyFont="1" applyBorder="1" applyAlignment="1">
      <alignment wrapText="1"/>
    </xf>
    <xf numFmtId="0" fontId="7" fillId="54" borderId="19" xfId="380" applyFont="1" applyFill="1" applyBorder="1" applyAlignment="1">
      <alignment horizontal="left" vertical="center" wrapText="1"/>
      <protection/>
    </xf>
    <xf numFmtId="0" fontId="3" fillId="54" borderId="19" xfId="380" applyFont="1" applyFill="1" applyBorder="1" applyAlignment="1">
      <alignment horizontal="center" vertical="center" wrapText="1"/>
      <protection/>
    </xf>
    <xf numFmtId="2" fontId="3" fillId="54" borderId="19" xfId="380" applyNumberFormat="1" applyFont="1" applyFill="1" applyBorder="1" applyAlignment="1">
      <alignment horizontal="center" vertical="center" wrapText="1"/>
      <protection/>
    </xf>
    <xf numFmtId="0" fontId="3" fillId="0" borderId="19" xfId="380" applyFont="1" applyFill="1" applyBorder="1" applyAlignment="1">
      <alignment horizontal="left" vertical="center" wrapText="1"/>
      <protection/>
    </xf>
    <xf numFmtId="0" fontId="7" fillId="0" borderId="19" xfId="380" applyFont="1" applyFill="1" applyBorder="1" applyAlignment="1">
      <alignment horizontal="left" vertical="center" wrapText="1"/>
      <protection/>
    </xf>
    <xf numFmtId="0" fontId="3" fillId="0" borderId="19" xfId="380" applyFont="1" applyFill="1" applyBorder="1" applyAlignment="1">
      <alignment horizontal="center" vertical="center" wrapText="1"/>
      <protection/>
    </xf>
    <xf numFmtId="0" fontId="7" fillId="0" borderId="19" xfId="0" applyFont="1" applyBorder="1" applyAlignment="1">
      <alignment/>
    </xf>
    <xf numFmtId="0" fontId="3" fillId="0" borderId="20" xfId="0" applyFont="1" applyFill="1" applyBorder="1" applyAlignment="1">
      <alignment vertical="center" wrapText="1"/>
    </xf>
    <xf numFmtId="0" fontId="3" fillId="0" borderId="19" xfId="0" applyFont="1" applyBorder="1" applyAlignment="1">
      <alignment horizontal="left" vertical="center" wrapText="1"/>
    </xf>
    <xf numFmtId="0" fontId="3" fillId="0" borderId="0" xfId="0" applyFont="1" applyFill="1" applyBorder="1" applyAlignment="1">
      <alignment horizontal="center" vertical="center"/>
    </xf>
    <xf numFmtId="0" fontId="3" fillId="0" borderId="24" xfId="0" applyFont="1" applyFill="1" applyBorder="1" applyAlignment="1">
      <alignment horizontal="center"/>
    </xf>
    <xf numFmtId="0" fontId="3" fillId="55" borderId="20" xfId="0" applyFont="1" applyFill="1" applyBorder="1" applyAlignment="1">
      <alignment vertical="center" wrapText="1"/>
    </xf>
    <xf numFmtId="0" fontId="3" fillId="55" borderId="20" xfId="0" applyFont="1" applyFill="1" applyBorder="1" applyAlignment="1">
      <alignment horizontal="center" vertical="center" wrapText="1" shrinkToFit="1"/>
    </xf>
    <xf numFmtId="0" fontId="3" fillId="55" borderId="20" xfId="0" applyFont="1" applyFill="1" applyBorder="1" applyAlignment="1">
      <alignment horizontal="center" vertical="center"/>
    </xf>
    <xf numFmtId="0" fontId="3" fillId="0" borderId="24" xfId="0" applyFont="1" applyBorder="1" applyAlignment="1">
      <alignment horizontal="center"/>
    </xf>
    <xf numFmtId="1" fontId="3" fillId="0" borderId="19"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24"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19" xfId="0" applyFont="1" applyBorder="1" applyAlignment="1">
      <alignment vertical="center"/>
    </xf>
    <xf numFmtId="0" fontId="3" fillId="55" borderId="19" xfId="0" applyFont="1" applyFill="1" applyBorder="1" applyAlignment="1">
      <alignment vertical="center" wrapText="1"/>
    </xf>
    <xf numFmtId="0" fontId="3" fillId="55" borderId="19" xfId="0" applyFont="1" applyFill="1" applyBorder="1" applyAlignment="1">
      <alignment horizontal="center" vertical="center" wrapText="1" shrinkToFit="1"/>
    </xf>
    <xf numFmtId="0" fontId="3" fillId="55" borderId="19" xfId="0" applyFont="1" applyFill="1" applyBorder="1" applyAlignment="1">
      <alignment horizontal="center" vertical="center"/>
    </xf>
    <xf numFmtId="0" fontId="3" fillId="0" borderId="24" xfId="0" applyFont="1" applyBorder="1" applyAlignment="1">
      <alignment vertical="center"/>
    </xf>
    <xf numFmtId="0" fontId="23" fillId="0" borderId="0" xfId="381" applyFont="1" applyFill="1" applyAlignment="1">
      <alignment horizontal="left" vertical="center"/>
      <protection/>
    </xf>
    <xf numFmtId="2" fontId="3" fillId="0" borderId="19" xfId="0" applyNumberFormat="1" applyFont="1" applyFill="1" applyBorder="1" applyAlignment="1">
      <alignment vertical="center" wrapText="1"/>
    </xf>
    <xf numFmtId="0" fontId="3" fillId="0" borderId="21" xfId="429" applyFont="1" applyFill="1" applyBorder="1" applyAlignment="1">
      <alignment vertical="center" wrapText="1" shrinkToFit="1"/>
      <protection/>
    </xf>
    <xf numFmtId="176" fontId="3" fillId="0" borderId="19" xfId="436" applyNumberFormat="1" applyFont="1" applyFill="1" applyBorder="1" applyAlignment="1">
      <alignment vertical="center" wrapText="1"/>
      <protection/>
    </xf>
    <xf numFmtId="176" fontId="3" fillId="0" borderId="19" xfId="436" applyNumberFormat="1" applyFont="1" applyFill="1" applyBorder="1" applyAlignment="1">
      <alignment horizontal="center" vertical="center" wrapText="1"/>
      <protection/>
    </xf>
    <xf numFmtId="176" fontId="3" fillId="0" borderId="19" xfId="436" applyNumberFormat="1" applyFont="1" applyFill="1" applyBorder="1" applyAlignment="1">
      <alignment horizontal="left" vertical="center" wrapText="1"/>
      <protection/>
    </xf>
    <xf numFmtId="4" fontId="3" fillId="0" borderId="42" xfId="436" applyNumberFormat="1" applyFont="1" applyFill="1" applyBorder="1" applyAlignment="1">
      <alignment horizontal="center" vertical="center" wrapText="1"/>
      <protection/>
    </xf>
    <xf numFmtId="4" fontId="3" fillId="0" borderId="43" xfId="436" applyNumberFormat="1" applyFont="1" applyFill="1" applyBorder="1" applyAlignment="1">
      <alignment horizontal="center" vertical="center" wrapText="1"/>
      <protection/>
    </xf>
    <xf numFmtId="176" fontId="3" fillId="0" borderId="19" xfId="436" applyNumberFormat="1" applyFont="1" applyFill="1" applyBorder="1" applyAlignment="1">
      <alignment horizontal="right" vertical="center" wrapText="1"/>
      <protection/>
    </xf>
    <xf numFmtId="4" fontId="3" fillId="0" borderId="0" xfId="436" applyNumberFormat="1" applyFont="1" applyFill="1" applyBorder="1" applyAlignment="1">
      <alignment horizontal="center" vertical="center" wrapText="1"/>
      <protection/>
    </xf>
    <xf numFmtId="0" fontId="3" fillId="0" borderId="24" xfId="0" applyFont="1" applyBorder="1" applyAlignment="1">
      <alignment vertical="center" wrapText="1"/>
    </xf>
    <xf numFmtId="0" fontId="5" fillId="0" borderId="0" xfId="0" applyFont="1" applyFill="1" applyBorder="1" applyAlignment="1">
      <alignment/>
    </xf>
    <xf numFmtId="0" fontId="24" fillId="0" borderId="0" xfId="429" applyFont="1" applyFill="1" applyBorder="1" applyAlignment="1">
      <alignment horizontal="center" vertical="center" wrapText="1"/>
      <protection/>
    </xf>
    <xf numFmtId="0" fontId="24" fillId="0" borderId="0" xfId="381" applyFont="1" applyFill="1" applyBorder="1" applyAlignment="1">
      <alignment horizontal="center" vertical="center" wrapText="1"/>
      <protection/>
    </xf>
    <xf numFmtId="0" fontId="3" fillId="0" borderId="19" xfId="350" applyFont="1" applyFill="1" applyBorder="1" applyAlignment="1">
      <alignment horizontal="left" vertical="center" wrapText="1"/>
      <protection/>
    </xf>
    <xf numFmtId="0" fontId="7" fillId="0" borderId="19" xfId="384" applyFont="1" applyFill="1" applyBorder="1" applyAlignment="1">
      <alignment vertical="center" wrapText="1"/>
      <protection/>
    </xf>
    <xf numFmtId="2" fontId="3" fillId="0" borderId="19" xfId="344" applyNumberFormat="1" applyFont="1" applyFill="1" applyBorder="1" applyAlignment="1">
      <alignment horizontal="right" vertical="center" wrapText="1"/>
      <protection/>
    </xf>
    <xf numFmtId="2" fontId="3" fillId="0" borderId="19" xfId="429" applyNumberFormat="1" applyFont="1" applyFill="1" applyBorder="1" applyAlignment="1">
      <alignment horizontal="right" vertical="center" wrapText="1"/>
      <protection/>
    </xf>
    <xf numFmtId="2" fontId="3" fillId="0" borderId="19" xfId="436" applyNumberFormat="1" applyFont="1" applyFill="1" applyBorder="1" applyAlignment="1">
      <alignment horizontal="right" vertical="center" wrapText="1"/>
      <protection/>
    </xf>
    <xf numFmtId="2" fontId="3" fillId="0" borderId="19" xfId="436" applyNumberFormat="1" applyFont="1" applyFill="1" applyBorder="1" applyAlignment="1">
      <alignment horizontal="right" vertical="center"/>
      <protection/>
    </xf>
    <xf numFmtId="2" fontId="3" fillId="0" borderId="19" xfId="344" applyNumberFormat="1" applyFont="1" applyFill="1" applyBorder="1" applyAlignment="1">
      <alignment horizontal="right" vertical="center" wrapText="1"/>
      <protection/>
    </xf>
    <xf numFmtId="2" fontId="3" fillId="0" borderId="19" xfId="0" applyNumberFormat="1" applyFont="1" applyFill="1" applyBorder="1" applyAlignment="1">
      <alignment horizontal="right"/>
    </xf>
    <xf numFmtId="2" fontId="3" fillId="0" borderId="19" xfId="384" applyNumberFormat="1" applyFont="1" applyFill="1" applyBorder="1" applyAlignment="1">
      <alignment horizontal="right" vertical="center" wrapText="1"/>
      <protection/>
    </xf>
    <xf numFmtId="2" fontId="3" fillId="0" borderId="19" xfId="431" applyNumberFormat="1" applyFont="1" applyFill="1" applyBorder="1" applyAlignment="1">
      <alignment horizontal="right" vertical="center"/>
      <protection/>
    </xf>
    <xf numFmtId="2" fontId="3" fillId="0" borderId="19" xfId="0" applyNumberFormat="1" applyFont="1" applyFill="1" applyBorder="1" applyAlignment="1">
      <alignment horizontal="right" vertical="center" wrapText="1"/>
    </xf>
    <xf numFmtId="2" fontId="3" fillId="0" borderId="19" xfId="388" applyNumberFormat="1" applyFont="1" applyFill="1" applyBorder="1" applyAlignment="1">
      <alignment horizontal="right" vertical="center" wrapText="1"/>
      <protection/>
    </xf>
    <xf numFmtId="2" fontId="3" fillId="54" borderId="19" xfId="380" applyNumberFormat="1" applyFont="1" applyFill="1" applyBorder="1" applyAlignment="1">
      <alignment horizontal="right" vertical="center" wrapText="1"/>
      <protection/>
    </xf>
    <xf numFmtId="2" fontId="4" fillId="0" borderId="0" xfId="0" applyNumberFormat="1" applyFont="1" applyFill="1" applyBorder="1" applyAlignment="1">
      <alignment/>
    </xf>
    <xf numFmtId="0" fontId="3" fillId="57" borderId="0" xfId="0" applyFont="1" applyFill="1" applyBorder="1" applyAlignment="1">
      <alignment/>
    </xf>
    <xf numFmtId="0" fontId="3" fillId="0" borderId="19" xfId="0" applyFont="1" applyFill="1" applyBorder="1" applyAlignment="1">
      <alignment/>
    </xf>
    <xf numFmtId="0" fontId="68" fillId="0" borderId="0" xfId="381" applyFont="1" applyFill="1" applyBorder="1" applyAlignment="1">
      <alignment horizontal="center" vertical="center" wrapText="1"/>
      <protection/>
    </xf>
    <xf numFmtId="0" fontId="81" fillId="0" borderId="0" xfId="381" applyFont="1" applyFill="1" applyAlignment="1">
      <alignment horizontal="left" vertical="center"/>
      <protection/>
    </xf>
    <xf numFmtId="0" fontId="82" fillId="0" borderId="0" xfId="381" applyFont="1" applyFill="1" applyBorder="1" applyAlignment="1">
      <alignment horizontal="center" vertical="center" wrapText="1"/>
      <protection/>
    </xf>
    <xf numFmtId="0" fontId="82" fillId="0" borderId="0" xfId="381" applyFont="1" applyFill="1" applyAlignment="1">
      <alignment horizontal="left" vertical="center"/>
      <protection/>
    </xf>
    <xf numFmtId="49" fontId="7" fillId="0" borderId="37" xfId="0" applyNumberFormat="1" applyFont="1" applyFill="1" applyBorder="1" applyAlignment="1">
      <alignment horizontal="right" vertical="center" wrapText="1"/>
    </xf>
    <xf numFmtId="49" fontId="7" fillId="0" borderId="28" xfId="0" applyNumberFormat="1" applyFont="1" applyFill="1" applyBorder="1" applyAlignment="1">
      <alignment horizontal="right" vertical="center" wrapText="1"/>
    </xf>
    <xf numFmtId="0" fontId="3" fillId="0" borderId="0" xfId="381" applyFont="1" applyFill="1" applyBorder="1" applyAlignment="1">
      <alignment horizontal="center" wrapText="1"/>
      <protection/>
    </xf>
    <xf numFmtId="0" fontId="60" fillId="0" borderId="0" xfId="387" applyFont="1" applyBorder="1" applyAlignment="1">
      <alignment horizontal="center" vertical="center"/>
      <protection/>
    </xf>
    <xf numFmtId="49" fontId="65" fillId="0" borderId="38" xfId="381" applyNumberFormat="1" applyFont="1" applyFill="1" applyBorder="1" applyAlignment="1">
      <alignment horizontal="center" vertical="center" wrapText="1"/>
      <protection/>
    </xf>
    <xf numFmtId="0" fontId="3" fillId="0" borderId="0" xfId="429" applyFont="1" applyFill="1" applyBorder="1" applyAlignment="1">
      <alignment horizontal="center" vertical="center" wrapText="1"/>
      <protection/>
    </xf>
    <xf numFmtId="0" fontId="7" fillId="0" borderId="0" xfId="381" applyFont="1" applyFill="1" applyBorder="1" applyAlignment="1">
      <alignment horizontal="left" vertical="center" wrapText="1"/>
      <protection/>
    </xf>
    <xf numFmtId="0" fontId="3" fillId="0" borderId="0" xfId="381" applyFont="1" applyFill="1" applyBorder="1" applyAlignment="1">
      <alignment horizontal="left" vertical="center" wrapText="1"/>
      <protection/>
    </xf>
    <xf numFmtId="0" fontId="7" fillId="0" borderId="0" xfId="381" applyFont="1" applyFill="1" applyBorder="1" applyAlignment="1">
      <alignment horizontal="left"/>
      <protection/>
    </xf>
    <xf numFmtId="0" fontId="3" fillId="0" borderId="0" xfId="381" applyFont="1" applyFill="1" applyBorder="1" applyAlignment="1">
      <alignment horizontal="left"/>
      <protection/>
    </xf>
    <xf numFmtId="49" fontId="3" fillId="0" borderId="0" xfId="381" applyNumberFormat="1" applyFont="1" applyFill="1" applyBorder="1" applyAlignment="1">
      <alignment horizontal="center"/>
      <protection/>
    </xf>
    <xf numFmtId="0" fontId="58" fillId="0" borderId="0" xfId="381" applyFont="1" applyFill="1" applyBorder="1" applyAlignment="1">
      <alignment horizontal="center" wrapText="1"/>
      <protection/>
    </xf>
    <xf numFmtId="0" fontId="58" fillId="0" borderId="0" xfId="381" applyFont="1" applyFill="1" applyBorder="1" applyAlignment="1">
      <alignment horizontal="center"/>
      <protection/>
    </xf>
    <xf numFmtId="0" fontId="59" fillId="0" borderId="0" xfId="429" applyFont="1" applyFill="1" applyBorder="1" applyAlignment="1">
      <alignment horizontal="center" vertical="center" wrapText="1"/>
      <protection/>
    </xf>
    <xf numFmtId="49" fontId="7" fillId="0" borderId="37" xfId="0" applyNumberFormat="1" applyFont="1" applyFill="1" applyBorder="1" applyAlignment="1">
      <alignment horizontal="right" vertical="center" wrapText="1"/>
    </xf>
    <xf numFmtId="49" fontId="7" fillId="0" borderId="28" xfId="0" applyNumberFormat="1" applyFont="1" applyFill="1" applyBorder="1" applyAlignment="1">
      <alignment horizontal="right" vertical="center" wrapText="1"/>
    </xf>
    <xf numFmtId="0" fontId="54" fillId="0" borderId="0" xfId="381" applyFont="1" applyFill="1" applyBorder="1" applyAlignment="1">
      <alignment horizontal="center" wrapText="1"/>
      <protection/>
    </xf>
    <xf numFmtId="0" fontId="24" fillId="0" borderId="0" xfId="381" applyFont="1" applyFill="1" applyBorder="1" applyAlignment="1">
      <alignment horizontal="left" vertical="center" wrapText="1"/>
      <protection/>
    </xf>
    <xf numFmtId="0" fontId="54" fillId="54" borderId="0" xfId="381" applyFont="1" applyFill="1" applyBorder="1" applyAlignment="1">
      <alignment horizontal="center" wrapText="1"/>
      <protection/>
    </xf>
    <xf numFmtId="0" fontId="24" fillId="54" borderId="0" xfId="381" applyFont="1" applyFill="1" applyBorder="1" applyAlignment="1">
      <alignment horizontal="left" vertical="center" wrapText="1"/>
      <protection/>
    </xf>
    <xf numFmtId="0" fontId="24" fillId="0" borderId="0" xfId="381" applyFont="1" applyFill="1" applyBorder="1" applyAlignment="1">
      <alignment horizontal="center" wrapText="1"/>
      <protection/>
    </xf>
  </cellXfs>
  <cellStyles count="476">
    <cellStyle name="Normal" xfId="0"/>
    <cellStyle name="1. izcēlums" xfId="15"/>
    <cellStyle name="1. izcēlums 2" xfId="16"/>
    <cellStyle name="1. izcēlums 3" xfId="17"/>
    <cellStyle name="1. izcēlums 4" xfId="18"/>
    <cellStyle name="2. izcēlums" xfId="19"/>
    <cellStyle name="2. izcēlums 2" xfId="20"/>
    <cellStyle name="2. izcēlums 3" xfId="21"/>
    <cellStyle name="2. izcēlums 4" xfId="22"/>
    <cellStyle name="20% - Accent1" xfId="23"/>
    <cellStyle name="20% - Accent2" xfId="24"/>
    <cellStyle name="20% - Accent3" xfId="25"/>
    <cellStyle name="20% - Accent4" xfId="26"/>
    <cellStyle name="20% - Accent5" xfId="27"/>
    <cellStyle name="20% - Accent6" xfId="28"/>
    <cellStyle name="20% - Izcēlums1" xfId="29"/>
    <cellStyle name="20% - Izcēlums2" xfId="30"/>
    <cellStyle name="20% - Izcēlums3" xfId="31"/>
    <cellStyle name="20% - Izcēlums4" xfId="32"/>
    <cellStyle name="20% - Izcēlums5" xfId="33"/>
    <cellStyle name="20% - Izcēlums6" xfId="34"/>
    <cellStyle name="20% - Акцент1" xfId="35"/>
    <cellStyle name="20% — акцент1" xfId="36"/>
    <cellStyle name="20% - Акцент1_DOP" xfId="37"/>
    <cellStyle name="20% - Акцент2" xfId="38"/>
    <cellStyle name="20% — акцент2" xfId="39"/>
    <cellStyle name="20% - Акцент2_DOP" xfId="40"/>
    <cellStyle name="20% - Акцент3" xfId="41"/>
    <cellStyle name="20% — акцент3" xfId="42"/>
    <cellStyle name="20% - Акцент3_DOP" xfId="43"/>
    <cellStyle name="20% - Акцент4" xfId="44"/>
    <cellStyle name="20% — акцент4" xfId="45"/>
    <cellStyle name="20% - Акцент4_DOP" xfId="46"/>
    <cellStyle name="20% - Акцент5" xfId="47"/>
    <cellStyle name="20% — акцент5" xfId="48"/>
    <cellStyle name="20% - Акцент5_DOP" xfId="49"/>
    <cellStyle name="20% - Акцент6" xfId="50"/>
    <cellStyle name="20% — акцент6" xfId="51"/>
    <cellStyle name="20% - Акцент6_DOP" xfId="52"/>
    <cellStyle name="20% no 1. izcēluma" xfId="53"/>
    <cellStyle name="20% no 1. izcēluma 2" xfId="54"/>
    <cellStyle name="20% no 1. izcēluma 3" xfId="55"/>
    <cellStyle name="20% no 1. izcēluma 4" xfId="56"/>
    <cellStyle name="20% no 2. izcēluma" xfId="57"/>
    <cellStyle name="20% no 2. izcēluma 2" xfId="58"/>
    <cellStyle name="20% no 2. izcēluma 3" xfId="59"/>
    <cellStyle name="20% no 2. izcēluma 4" xfId="60"/>
    <cellStyle name="20% no 3. izcēluma" xfId="61"/>
    <cellStyle name="20% no 3. izcēluma 2" xfId="62"/>
    <cellStyle name="20% no 3. izcēluma 3" xfId="63"/>
    <cellStyle name="20% no 3. izcēluma 4" xfId="64"/>
    <cellStyle name="20% no 4. izcēluma" xfId="65"/>
    <cellStyle name="20% no 4. izcēluma 2" xfId="66"/>
    <cellStyle name="20% no 4. izcēluma 3" xfId="67"/>
    <cellStyle name="20% no 4. izcēluma 4" xfId="68"/>
    <cellStyle name="20% no 5. izcēluma" xfId="69"/>
    <cellStyle name="20% no 5. izcēluma 2" xfId="70"/>
    <cellStyle name="20% no 5. izcēluma 3" xfId="71"/>
    <cellStyle name="20% no 5. izcēluma 4" xfId="72"/>
    <cellStyle name="20% no 6. izcēluma" xfId="73"/>
    <cellStyle name="20% no 6. izcēluma 2" xfId="74"/>
    <cellStyle name="20% no 6. izcēluma 3" xfId="75"/>
    <cellStyle name="20% no 6. izcēluma 4" xfId="76"/>
    <cellStyle name="3. izcēlums " xfId="77"/>
    <cellStyle name="3. izcēlums  2" xfId="78"/>
    <cellStyle name="3. izcēlums  3" xfId="79"/>
    <cellStyle name="3. izcēlums  4" xfId="80"/>
    <cellStyle name="4. izcēlums" xfId="81"/>
    <cellStyle name="4. izcēlums 2" xfId="82"/>
    <cellStyle name="4. izcēlums 3" xfId="83"/>
    <cellStyle name="4. izcēlums 4" xfId="84"/>
    <cellStyle name="40% - Accent1" xfId="85"/>
    <cellStyle name="40% - Accent2" xfId="86"/>
    <cellStyle name="40% - Accent3" xfId="87"/>
    <cellStyle name="40% - Accent4" xfId="88"/>
    <cellStyle name="40% - Accent5" xfId="89"/>
    <cellStyle name="40% - Accent6" xfId="90"/>
    <cellStyle name="40% - Izcēlums1" xfId="91"/>
    <cellStyle name="40% - Izcēlums2" xfId="92"/>
    <cellStyle name="40% - Izcēlums3" xfId="93"/>
    <cellStyle name="40% - Izcēlums4" xfId="94"/>
    <cellStyle name="40% - Izcēlums5" xfId="95"/>
    <cellStyle name="40% - Izcēlums6" xfId="96"/>
    <cellStyle name="40% - Акцент1" xfId="97"/>
    <cellStyle name="40% — акцент1" xfId="98"/>
    <cellStyle name="40% - Акцент1_DOP" xfId="99"/>
    <cellStyle name="40% - Акцент2" xfId="100"/>
    <cellStyle name="40% — акцент2" xfId="101"/>
    <cellStyle name="40% - Акцент2_DOP" xfId="102"/>
    <cellStyle name="40% - Акцент3" xfId="103"/>
    <cellStyle name="40% — акцент3" xfId="104"/>
    <cellStyle name="40% - Акцент3_DOP" xfId="105"/>
    <cellStyle name="40% - Акцент4" xfId="106"/>
    <cellStyle name="40% — акцент4" xfId="107"/>
    <cellStyle name="40% - Акцент4_DOP" xfId="108"/>
    <cellStyle name="40% - Акцент5" xfId="109"/>
    <cellStyle name="40% — акцент5" xfId="110"/>
    <cellStyle name="40% - Акцент5_DOP" xfId="111"/>
    <cellStyle name="40% - Акцент6" xfId="112"/>
    <cellStyle name="40% — акцент6" xfId="113"/>
    <cellStyle name="40% - Акцент6_DOP" xfId="114"/>
    <cellStyle name="40% no 1. izcēluma" xfId="115"/>
    <cellStyle name="40% no 1. izcēluma 2" xfId="116"/>
    <cellStyle name="40% no 1. izcēluma 3" xfId="117"/>
    <cellStyle name="40% no 1. izcēluma 4" xfId="118"/>
    <cellStyle name="40% no 2. izcēluma" xfId="119"/>
    <cellStyle name="40% no 2. izcēluma 2" xfId="120"/>
    <cellStyle name="40% no 2. izcēluma 3" xfId="121"/>
    <cellStyle name="40% no 2. izcēluma 4" xfId="122"/>
    <cellStyle name="40% no 3. izcēluma" xfId="123"/>
    <cellStyle name="40% no 3. izcēluma 2" xfId="124"/>
    <cellStyle name="40% no 3. izcēluma 3" xfId="125"/>
    <cellStyle name="40% no 3. izcēluma 4" xfId="126"/>
    <cellStyle name="40% no 4. izcēluma" xfId="127"/>
    <cellStyle name="40% no 4. izcēluma 2" xfId="128"/>
    <cellStyle name="40% no 4. izcēluma 3" xfId="129"/>
    <cellStyle name="40% no 4. izcēluma 4" xfId="130"/>
    <cellStyle name="40% no 5. izcēluma" xfId="131"/>
    <cellStyle name="40% no 5. izcēluma 2" xfId="132"/>
    <cellStyle name="40% no 5. izcēluma 3" xfId="133"/>
    <cellStyle name="40% no 5. izcēluma 4" xfId="134"/>
    <cellStyle name="40% no 6. izcēluma" xfId="135"/>
    <cellStyle name="40% no 6. izcēluma 2" xfId="136"/>
    <cellStyle name="40% no 6. izcēluma 3" xfId="137"/>
    <cellStyle name="40% no 6. izcēluma 4" xfId="138"/>
    <cellStyle name="5. izcēlums" xfId="139"/>
    <cellStyle name="5. izcēlums 2" xfId="140"/>
    <cellStyle name="5. izcēlums 3" xfId="141"/>
    <cellStyle name="5. izcēlums 4" xfId="142"/>
    <cellStyle name="6. izcēlums" xfId="143"/>
    <cellStyle name="6. izcēlums 2" xfId="144"/>
    <cellStyle name="6. izcēlums 3" xfId="145"/>
    <cellStyle name="6. izcēlums 4" xfId="146"/>
    <cellStyle name="60% - Accent1" xfId="147"/>
    <cellStyle name="60% - Accent2" xfId="148"/>
    <cellStyle name="60% - Accent3" xfId="149"/>
    <cellStyle name="60% - Accent4" xfId="150"/>
    <cellStyle name="60% - Accent5" xfId="151"/>
    <cellStyle name="60% - Accent6" xfId="152"/>
    <cellStyle name="60% - Izcēlums1" xfId="153"/>
    <cellStyle name="60% - Izcēlums2" xfId="154"/>
    <cellStyle name="60% - Izcēlums3" xfId="155"/>
    <cellStyle name="60% - Izcēlums4" xfId="156"/>
    <cellStyle name="60% - Izcēlums5" xfId="157"/>
    <cellStyle name="60% - Izcēlums6" xfId="158"/>
    <cellStyle name="60% - Акцент1" xfId="159"/>
    <cellStyle name="60% — акцент1" xfId="160"/>
    <cellStyle name="60% - Акцент1_DOP" xfId="161"/>
    <cellStyle name="60% - Акцент2" xfId="162"/>
    <cellStyle name="60% — акцент2" xfId="163"/>
    <cellStyle name="60% - Акцент2_DOP" xfId="164"/>
    <cellStyle name="60% - Акцент3" xfId="165"/>
    <cellStyle name="60% — акцент3" xfId="166"/>
    <cellStyle name="60% - Акцент3_DOP" xfId="167"/>
    <cellStyle name="60% - Акцент4" xfId="168"/>
    <cellStyle name="60% — акцент4" xfId="169"/>
    <cellStyle name="60% - Акцент4_DOP" xfId="170"/>
    <cellStyle name="60% - Акцент5" xfId="171"/>
    <cellStyle name="60% — акцент5" xfId="172"/>
    <cellStyle name="60% - Акцент5_DOP" xfId="173"/>
    <cellStyle name="60% - Акцент6" xfId="174"/>
    <cellStyle name="60% — акцент6" xfId="175"/>
    <cellStyle name="60% - Акцент6_DOP" xfId="176"/>
    <cellStyle name="60% no 1. izcēluma" xfId="177"/>
    <cellStyle name="60% no 1. izcēluma 2" xfId="178"/>
    <cellStyle name="60% no 1. izcēluma 3" xfId="179"/>
    <cellStyle name="60% no 1. izcēluma 4" xfId="180"/>
    <cellStyle name="60% no 2. izcēluma" xfId="181"/>
    <cellStyle name="60% no 2. izcēluma 2" xfId="182"/>
    <cellStyle name="60% no 2. izcēluma 3" xfId="183"/>
    <cellStyle name="60% no 2. izcēluma 4" xfId="184"/>
    <cellStyle name="60% no 3. izcēluma" xfId="185"/>
    <cellStyle name="60% no 3. izcēluma 2" xfId="186"/>
    <cellStyle name="60% no 3. izcēluma 3" xfId="187"/>
    <cellStyle name="60% no 3. izcēluma 4" xfId="188"/>
    <cellStyle name="60% no 4. izcēluma" xfId="189"/>
    <cellStyle name="60% no 4. izcēluma 2" xfId="190"/>
    <cellStyle name="60% no 4. izcēluma 3" xfId="191"/>
    <cellStyle name="60% no 4. izcēluma 4" xfId="192"/>
    <cellStyle name="60% no 5. izcēluma" xfId="193"/>
    <cellStyle name="60% no 5. izcēluma 2" xfId="194"/>
    <cellStyle name="60% no 5. izcēluma 3" xfId="195"/>
    <cellStyle name="60% no 5. izcēluma 4" xfId="196"/>
    <cellStyle name="60% no 6. izcēluma" xfId="197"/>
    <cellStyle name="60% no 6. izcēluma 2" xfId="198"/>
    <cellStyle name="60% no 6. izcēluma 3" xfId="199"/>
    <cellStyle name="60% no 6. izcēluma 4" xfId="200"/>
    <cellStyle name="Äåķåęķūé [0]_laroux" xfId="201"/>
    <cellStyle name="Äåķåęķūé_laroux" xfId="202"/>
    <cellStyle name="Accent1" xfId="203"/>
    <cellStyle name="Accent2" xfId="204"/>
    <cellStyle name="Accent3" xfId="205"/>
    <cellStyle name="Accent4" xfId="206"/>
    <cellStyle name="Accent5" xfId="207"/>
    <cellStyle name="Accent6" xfId="208"/>
    <cellStyle name="Aprēķināšana" xfId="209"/>
    <cellStyle name="Aprēķināšana 2" xfId="210"/>
    <cellStyle name="Aprēķināšana 3" xfId="211"/>
    <cellStyle name="Aprēķināšana 4" xfId="212"/>
    <cellStyle name="Bad" xfId="213"/>
    <cellStyle name="Brīdinājuma teksts" xfId="214"/>
    <cellStyle name="Brīdinājuma teksts 2" xfId="215"/>
    <cellStyle name="Brīdinājuma teksts 3" xfId="216"/>
    <cellStyle name="Brīdinājuma teksts 4" xfId="217"/>
    <cellStyle name="Calculation" xfId="218"/>
    <cellStyle name="Check Cell" xfId="219"/>
    <cellStyle name="Comma" xfId="220"/>
    <cellStyle name="Comma [0]" xfId="221"/>
    <cellStyle name="Comma 2" xfId="222"/>
    <cellStyle name="Comma 2 2" xfId="223"/>
    <cellStyle name="Comma 2 3" xfId="224"/>
    <cellStyle name="Comma 2 3 2" xfId="225"/>
    <cellStyle name="Comma 2 4" xfId="226"/>
    <cellStyle name="Comma 2_AR" xfId="227"/>
    <cellStyle name="Comma 3" xfId="228"/>
    <cellStyle name="Comma 3 4" xfId="229"/>
    <cellStyle name="Comma 4" xfId="230"/>
    <cellStyle name="Comma 4 2" xfId="231"/>
    <cellStyle name="Comma 5" xfId="232"/>
    <cellStyle name="Comma 6" xfId="233"/>
    <cellStyle name="Currency" xfId="234"/>
    <cellStyle name="Currency [0]" xfId="235"/>
    <cellStyle name="Currency 2" xfId="236"/>
    <cellStyle name="Currency 2 2" xfId="237"/>
    <cellStyle name="Currency 3" xfId="238"/>
    <cellStyle name="Currency 4" xfId="239"/>
    <cellStyle name="Currency 5" xfId="240"/>
    <cellStyle name="Currency 5 2" xfId="241"/>
    <cellStyle name="Currency 6" xfId="242"/>
    <cellStyle name="Currency 7" xfId="243"/>
    <cellStyle name="Currency 8" xfId="244"/>
    <cellStyle name="Date" xfId="245"/>
    <cellStyle name="Dezimal [0]_Nossner_Brücke" xfId="246"/>
    <cellStyle name="Dezimal_en_Master" xfId="247"/>
    <cellStyle name="Divider" xfId="248"/>
    <cellStyle name="Excel Built-in Normal" xfId="249"/>
    <cellStyle name="Excel Built-in Normal 1" xfId="250"/>
    <cellStyle name="Excel Built-in Normal 2" xfId="251"/>
    <cellStyle name="Excel Built-in Normal 3" xfId="252"/>
    <cellStyle name="Excel Built-in Normal_DOP" xfId="253"/>
    <cellStyle name="Explanatory Text" xfId="254"/>
    <cellStyle name="Fixed" xfId="255"/>
    <cellStyle name="Followed Hyperlink" xfId="256"/>
    <cellStyle name="Good" xfId="257"/>
    <cellStyle name="Heading" xfId="258"/>
    <cellStyle name="Heading 1" xfId="259"/>
    <cellStyle name="Heading 1 2" xfId="260"/>
    <cellStyle name="Heading 2" xfId="261"/>
    <cellStyle name="Heading 3" xfId="262"/>
    <cellStyle name="Heading 4" xfId="263"/>
    <cellStyle name="Heading1" xfId="264"/>
    <cellStyle name="Heading1 1" xfId="265"/>
    <cellStyle name="Heading1_DOP" xfId="266"/>
    <cellStyle name="Heading2" xfId="267"/>
    <cellStyle name="Headline I" xfId="268"/>
    <cellStyle name="Headline II" xfId="269"/>
    <cellStyle name="Headline III" xfId="270"/>
    <cellStyle name="Hyperlink" xfId="271"/>
    <cellStyle name="Hyperlink 2" xfId="272"/>
    <cellStyle name="Hyperlink 2 2" xfId="273"/>
    <cellStyle name="Hyperlink 2 3" xfId="274"/>
    <cellStyle name="Hyperlink 2 4" xfId="275"/>
    <cellStyle name="Ievade" xfId="276"/>
    <cellStyle name="Ievade 2" xfId="277"/>
    <cellStyle name="Ievade 3" xfId="278"/>
    <cellStyle name="Ievade 4" xfId="279"/>
    <cellStyle name="Input" xfId="280"/>
    <cellStyle name="Izcēlums (1. veids)" xfId="281"/>
    <cellStyle name="Izcēlums (2. veids)" xfId="282"/>
    <cellStyle name="Izcēlums (3. veids)" xfId="283"/>
    <cellStyle name="Izcēlums (4. veids)" xfId="284"/>
    <cellStyle name="Izcēlums (5. veids)" xfId="285"/>
    <cellStyle name="Izcēlums (6. veids)" xfId="286"/>
    <cellStyle name="Izcēlums1" xfId="287"/>
    <cellStyle name="Izcēlums2" xfId="288"/>
    <cellStyle name="Izcēlums3" xfId="289"/>
    <cellStyle name="Izcēlums4" xfId="290"/>
    <cellStyle name="Izcēlums5" xfId="291"/>
    <cellStyle name="Izcēlums6" xfId="292"/>
    <cellStyle name="Izvade" xfId="293"/>
    <cellStyle name="Izvade 2" xfId="294"/>
    <cellStyle name="Izvade 3" xfId="295"/>
    <cellStyle name="Izvade 4" xfId="296"/>
    <cellStyle name="Īįū÷ķūé_laroux" xfId="297"/>
    <cellStyle name="Kopsumma" xfId="298"/>
    <cellStyle name="Kopsumma 2" xfId="299"/>
    <cellStyle name="Kopsumma 3" xfId="300"/>
    <cellStyle name="Kopsumma 4" xfId="301"/>
    <cellStyle name="Labs 2" xfId="302"/>
    <cellStyle name="Labs 3" xfId="303"/>
    <cellStyle name="Labs 4" xfId="304"/>
    <cellStyle name="Linked Cell" xfId="305"/>
    <cellStyle name="Neitrāls" xfId="306"/>
    <cellStyle name="Neitrāls 2" xfId="307"/>
    <cellStyle name="Neitrāls 3" xfId="308"/>
    <cellStyle name="Neitrāls 4" xfId="309"/>
    <cellStyle name="Neutral" xfId="310"/>
    <cellStyle name="Norm੎੎" xfId="311"/>
    <cellStyle name="Normaali_light-98_gun" xfId="312"/>
    <cellStyle name="Normal 10" xfId="313"/>
    <cellStyle name="Normal 10 2" xfId="314"/>
    <cellStyle name="Normal 11" xfId="315"/>
    <cellStyle name="Normal 11 2" xfId="316"/>
    <cellStyle name="Normal 11 4" xfId="317"/>
    <cellStyle name="Normal 12" xfId="318"/>
    <cellStyle name="Normal 12 4" xfId="319"/>
    <cellStyle name="Normal 14" xfId="320"/>
    <cellStyle name="Normal 15_1.TS_IS" xfId="321"/>
    <cellStyle name="Normal 2" xfId="322"/>
    <cellStyle name="Normal 2 2" xfId="323"/>
    <cellStyle name="Normal 2 2 2" xfId="324"/>
    <cellStyle name="Normal 2 2 2 2" xfId="325"/>
    <cellStyle name="Normal 2 2 3" xfId="326"/>
    <cellStyle name="Normal 2 2 4" xfId="327"/>
    <cellStyle name="Normal 2 2 5" xfId="328"/>
    <cellStyle name="Normal 2 2_celt_darbi" xfId="329"/>
    <cellStyle name="Normal 2 3" xfId="330"/>
    <cellStyle name="Normal 2 3 2" xfId="331"/>
    <cellStyle name="Normal 2 3 3" xfId="332"/>
    <cellStyle name="Normal 2 3 4" xfId="333"/>
    <cellStyle name="Normal 2 3_DOP" xfId="334"/>
    <cellStyle name="Normal 2 4" xfId="335"/>
    <cellStyle name="Normal 2_ail" xfId="336"/>
    <cellStyle name="Normal 27" xfId="337"/>
    <cellStyle name="Normal 3" xfId="338"/>
    <cellStyle name="Normal 3 2" xfId="339"/>
    <cellStyle name="Normal 3 2 2" xfId="340"/>
    <cellStyle name="Normal 3 2 2 2" xfId="341"/>
    <cellStyle name="Normal 3 2_SAT" xfId="342"/>
    <cellStyle name="Normal 3_apk" xfId="343"/>
    <cellStyle name="Normal 4" xfId="344"/>
    <cellStyle name="Normal 4 2" xfId="345"/>
    <cellStyle name="Normal 4 3" xfId="346"/>
    <cellStyle name="Normal 4 4" xfId="347"/>
    <cellStyle name="Normal 4_Siltumtrase" xfId="348"/>
    <cellStyle name="Normal 44" xfId="349"/>
    <cellStyle name="Normal 45" xfId="350"/>
    <cellStyle name="Normal 46" xfId="351"/>
    <cellStyle name="Normal 47" xfId="352"/>
    <cellStyle name="Normal 5" xfId="353"/>
    <cellStyle name="Normal 5 2" xfId="354"/>
    <cellStyle name="Normal 5 2 3" xfId="355"/>
    <cellStyle name="Normal 5 2_SAT" xfId="356"/>
    <cellStyle name="Normal 5 4 2" xfId="357"/>
    <cellStyle name="Normal 5_celt_darbi" xfId="358"/>
    <cellStyle name="Normal 57" xfId="359"/>
    <cellStyle name="Normal 6" xfId="360"/>
    <cellStyle name="Normal 6 2" xfId="361"/>
    <cellStyle name="Normal 6 3" xfId="362"/>
    <cellStyle name="Normal 6 4" xfId="363"/>
    <cellStyle name="Normal 6_DOP" xfId="364"/>
    <cellStyle name="Normal 68" xfId="365"/>
    <cellStyle name="Normal 7" xfId="366"/>
    <cellStyle name="Normal 7 2" xfId="367"/>
    <cellStyle name="Normal 70" xfId="368"/>
    <cellStyle name="Normal 72 10" xfId="369"/>
    <cellStyle name="Normal 74 10" xfId="370"/>
    <cellStyle name="Normal 78" xfId="371"/>
    <cellStyle name="Normal 79" xfId="372"/>
    <cellStyle name="Normal 8" xfId="373"/>
    <cellStyle name="Normal 9" xfId="374"/>
    <cellStyle name="Normal_BOQ_MEP_12_07_2007(1)" xfId="375"/>
    <cellStyle name="Normal_celt_darbi_1" xfId="376"/>
    <cellStyle name="Normal_Celtniecibas tames - Bernudarzi" xfId="377"/>
    <cellStyle name="Normal_iekdarbi" xfId="378"/>
    <cellStyle name="Normal_iekdarbi_1" xfId="379"/>
    <cellStyle name="Normal_ieks" xfId="380"/>
    <cellStyle name="Normal_invai" xfId="381"/>
    <cellStyle name="Normal_Jum_2" xfId="382"/>
    <cellStyle name="Normal_Jumts_1" xfId="383"/>
    <cellStyle name="Normal_kapnes" xfId="384"/>
    <cellStyle name="Normal_Nr_2" xfId="385"/>
    <cellStyle name="Normal_Polu_vidusskola_kopeja" xfId="386"/>
    <cellStyle name="Normal_Sheet1_zem" xfId="387"/>
    <cellStyle name="Normal_Sheet10" xfId="388"/>
    <cellStyle name="Nosaukums" xfId="389"/>
    <cellStyle name="Nosaukums 2" xfId="390"/>
    <cellStyle name="Nosaukums 3" xfId="391"/>
    <cellStyle name="Nosaukums 4" xfId="392"/>
    <cellStyle name="Note" xfId="393"/>
    <cellStyle name="Note 2" xfId="394"/>
    <cellStyle name="Output" xfId="395"/>
    <cellStyle name="Parastais 2" xfId="396"/>
    <cellStyle name="Parastais 5" xfId="397"/>
    <cellStyle name="Parastais 7" xfId="398"/>
    <cellStyle name="Parastais_Izveerstaa_taame-forma" xfId="399"/>
    <cellStyle name="Parasts 2" xfId="400"/>
    <cellStyle name="Paskaidrojošs teksts 2" xfId="401"/>
    <cellStyle name="Paskaidrojošs teksts 3" xfId="402"/>
    <cellStyle name="Paskaidrojošs teksts 4" xfId="403"/>
    <cellStyle name="Pārbaudes šūna 2" xfId="404"/>
    <cellStyle name="Pārbaudes šūna 3" xfId="405"/>
    <cellStyle name="Pārbaudes šūna 4" xfId="406"/>
    <cellStyle name="Percent" xfId="407"/>
    <cellStyle name="Percent 2" xfId="408"/>
    <cellStyle name="Percent 3" xfId="409"/>
    <cellStyle name="Piezīme 2" xfId="410"/>
    <cellStyle name="Piezīme 3" xfId="411"/>
    <cellStyle name="Piezīme 4" xfId="412"/>
    <cellStyle name="Position" xfId="413"/>
    <cellStyle name="Result" xfId="414"/>
    <cellStyle name="Result 1" xfId="415"/>
    <cellStyle name="Result2" xfId="416"/>
    <cellStyle name="Result2 1" xfId="417"/>
    <cellStyle name="Result2 2" xfId="418"/>
    <cellStyle name="Result2 3" xfId="419"/>
    <cellStyle name="Saistītā šūna" xfId="420"/>
    <cellStyle name="Saistītā šūna 2" xfId="421"/>
    <cellStyle name="Saistītā šūna 3" xfId="422"/>
    <cellStyle name="Saistītā šūna 4" xfId="423"/>
    <cellStyle name="Slikts 2" xfId="424"/>
    <cellStyle name="Slikts 3" xfId="425"/>
    <cellStyle name="Slikts 4" xfId="426"/>
    <cellStyle name="Standard_cm_Master" xfId="427"/>
    <cellStyle name="Stils 1" xfId="428"/>
    <cellStyle name="Style 1" xfId="429"/>
    <cellStyle name="Style 1 2" xfId="430"/>
    <cellStyle name="Style 1 2 2" xfId="431"/>
    <cellStyle name="Style 1 2 2 2" xfId="432"/>
    <cellStyle name="Style 1 2 2_SAT" xfId="433"/>
    <cellStyle name="Style 1 2_SAT" xfId="434"/>
    <cellStyle name="Style 1_AR" xfId="435"/>
    <cellStyle name="Style 1_DOP" xfId="436"/>
    <cellStyle name="Style 1_Nr_2" xfId="437"/>
    <cellStyle name="Style 2" xfId="438"/>
    <cellStyle name="Style 2 2" xfId="439"/>
    <cellStyle name="Style 2_BK" xfId="440"/>
    <cellStyle name="Style 3" xfId="441"/>
    <cellStyle name="Title" xfId="442"/>
    <cellStyle name="Total" xfId="443"/>
    <cellStyle name="Unit" xfId="444"/>
    <cellStyle name="Virsraksts 1 2" xfId="445"/>
    <cellStyle name="Virsraksts 1 3" xfId="446"/>
    <cellStyle name="Virsraksts 1 4" xfId="447"/>
    <cellStyle name="Virsraksts 2 2" xfId="448"/>
    <cellStyle name="Virsraksts 2 3" xfId="449"/>
    <cellStyle name="Virsraksts 2 4" xfId="450"/>
    <cellStyle name="Virsraksts 3 2" xfId="451"/>
    <cellStyle name="Virsraksts 3 3" xfId="452"/>
    <cellStyle name="Virsraksts 3 4" xfId="453"/>
    <cellStyle name="Virsraksts 4 2" xfId="454"/>
    <cellStyle name="Virsraksts 4 3" xfId="455"/>
    <cellStyle name="Virsraksts 4 4" xfId="456"/>
    <cellStyle name="Währung [0]_Nossner_Brücke" xfId="457"/>
    <cellStyle name="Währung_en_Master" xfId="458"/>
    <cellStyle name="Warning Text" xfId="459"/>
    <cellStyle name="Акцент1" xfId="460"/>
    <cellStyle name="Акцент2" xfId="461"/>
    <cellStyle name="Акцент3" xfId="462"/>
    <cellStyle name="Акцент4" xfId="463"/>
    <cellStyle name="Акцент5" xfId="464"/>
    <cellStyle name="Акцент6" xfId="465"/>
    <cellStyle name="Ввод " xfId="466"/>
    <cellStyle name="Вывод" xfId="467"/>
    <cellStyle name="Вычисление" xfId="468"/>
    <cellStyle name="Заголовок 1" xfId="469"/>
    <cellStyle name="Заголовок 2" xfId="470"/>
    <cellStyle name="Заголовок 3" xfId="471"/>
    <cellStyle name="Заголовок 4" xfId="472"/>
    <cellStyle name="Итог" xfId="473"/>
    <cellStyle name="Контрольная ячейка" xfId="474"/>
    <cellStyle name="Название" xfId="475"/>
    <cellStyle name="Нейтральный" xfId="476"/>
    <cellStyle name="Обычный 13" xfId="477"/>
    <cellStyle name="Обычный 2" xfId="478"/>
    <cellStyle name="Обычный 5" xfId="479"/>
    <cellStyle name="Обычный_2009-04-27_PED IESN" xfId="480"/>
    <cellStyle name="Плохой" xfId="481"/>
    <cellStyle name="Пояснение" xfId="482"/>
    <cellStyle name="Примечание" xfId="483"/>
    <cellStyle name="Связанная ячейка" xfId="484"/>
    <cellStyle name="Стиль 1" xfId="485"/>
    <cellStyle name="Стиль 2" xfId="486"/>
    <cellStyle name="Текст предупреждения" xfId="487"/>
    <cellStyle name="Финансовый_Gulbene siltinashana kor" xfId="488"/>
    <cellStyle name="Хороший" xfId="489"/>
  </cellStyles>
  <dxfs count="2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13</xdr:row>
      <xdr:rowOff>0</xdr:rowOff>
    </xdr:from>
    <xdr:ext cx="171450" cy="76200"/>
    <xdr:sp fLocksText="0">
      <xdr:nvSpPr>
        <xdr:cNvPr id="1"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3"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4"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5"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6"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7"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8"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9"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0"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3"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4"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5"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6"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7"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8"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9"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0"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6"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7"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8"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9"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30"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3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37"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38"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39"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40"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41"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42"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3"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4"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5"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6"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7"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48"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49"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50"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51"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52"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53"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95250"/>
    <xdr:sp fLocksText="0">
      <xdr:nvSpPr>
        <xdr:cNvPr id="54" name="TextBox 2"/>
        <xdr:cNvSpPr txBox="1">
          <a:spLocks noChangeArrowheads="1"/>
        </xdr:cNvSpPr>
      </xdr:nvSpPr>
      <xdr:spPr>
        <a:xfrm>
          <a:off x="5429250" y="15068550"/>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55"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56"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57"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58"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59"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60"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1"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2"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3"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4"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5"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76200"/>
    <xdr:sp fLocksText="0">
      <xdr:nvSpPr>
        <xdr:cNvPr id="66" name="TextBox 2"/>
        <xdr:cNvSpPr txBox="1">
          <a:spLocks noChangeArrowheads="1"/>
        </xdr:cNvSpPr>
      </xdr:nvSpPr>
      <xdr:spPr>
        <a:xfrm>
          <a:off x="5429250" y="15068550"/>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67"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68"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69"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70"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71"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84</xdr:row>
      <xdr:rowOff>0</xdr:rowOff>
    </xdr:from>
    <xdr:ext cx="209550" cy="57150"/>
    <xdr:sp fLocksText="0">
      <xdr:nvSpPr>
        <xdr:cNvPr id="72" name="TextBox 2"/>
        <xdr:cNvSpPr txBox="1">
          <a:spLocks noChangeArrowheads="1"/>
        </xdr:cNvSpPr>
      </xdr:nvSpPr>
      <xdr:spPr>
        <a:xfrm>
          <a:off x="5429250" y="15068550"/>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3"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4"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5"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6"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7"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78"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79"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80"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81"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82"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83"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84"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85"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86"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87"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88"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89"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90"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1"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2"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3"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4"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5"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96"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97"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98"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99"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00"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01"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02"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3"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4"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5"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6"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7"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08"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09"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10"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11"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12"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13"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95250"/>
    <xdr:sp fLocksText="0">
      <xdr:nvSpPr>
        <xdr:cNvPr id="114" name="TextBox 2"/>
        <xdr:cNvSpPr txBox="1">
          <a:spLocks noChangeArrowheads="1"/>
        </xdr:cNvSpPr>
      </xdr:nvSpPr>
      <xdr:spPr>
        <a:xfrm>
          <a:off x="5429250" y="18164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15"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16"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17"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18"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19"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20"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1"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2"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3"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4"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5"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76200"/>
    <xdr:sp fLocksText="0">
      <xdr:nvSpPr>
        <xdr:cNvPr id="126" name="TextBox 2"/>
        <xdr:cNvSpPr txBox="1">
          <a:spLocks noChangeArrowheads="1"/>
        </xdr:cNvSpPr>
      </xdr:nvSpPr>
      <xdr:spPr>
        <a:xfrm>
          <a:off x="5429250" y="18164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27"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28"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29"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30"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31"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209550" cy="57150"/>
    <xdr:sp fLocksText="0">
      <xdr:nvSpPr>
        <xdr:cNvPr id="132" name="TextBox 2"/>
        <xdr:cNvSpPr txBox="1">
          <a:spLocks noChangeArrowheads="1"/>
        </xdr:cNvSpPr>
      </xdr:nvSpPr>
      <xdr:spPr>
        <a:xfrm>
          <a:off x="5429250" y="18164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3"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4"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5"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6"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7"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71500"/>
    <xdr:sp fLocksText="0">
      <xdr:nvSpPr>
        <xdr:cNvPr id="138" name="TextBox 2"/>
        <xdr:cNvSpPr txBox="1">
          <a:spLocks noChangeArrowheads="1"/>
        </xdr:cNvSpPr>
      </xdr:nvSpPr>
      <xdr:spPr>
        <a:xfrm>
          <a:off x="5429250" y="18164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39"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40"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41"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42"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43"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103</xdr:row>
      <xdr:rowOff>0</xdr:rowOff>
    </xdr:from>
    <xdr:ext cx="190500" cy="542925"/>
    <xdr:sp fLocksText="0">
      <xdr:nvSpPr>
        <xdr:cNvPr id="144" name="TextBox 2"/>
        <xdr:cNvSpPr txBox="1">
          <a:spLocks noChangeArrowheads="1"/>
        </xdr:cNvSpPr>
      </xdr:nvSpPr>
      <xdr:spPr>
        <a:xfrm>
          <a:off x="5429250" y="18164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45"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46"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47"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48"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49"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50"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5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57"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58"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59"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60"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61"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162"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7"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68"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69"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70"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71"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72"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73"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174"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7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7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77"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78"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79"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180"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1"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2"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3"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4"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5"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86"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87"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88"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89"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90"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91"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92"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3"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4"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5"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6"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7"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198"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199"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00"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01"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02"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03"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04"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05"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06"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07"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08"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09"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10"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1"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2"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3"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4"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5"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16"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17"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18"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19"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20"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21"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222"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3"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4"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5"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6"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7"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28"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29"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30"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31"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32"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33"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234"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35"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36"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37"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38"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39"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240"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1"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2"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3"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4"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5"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304925"/>
    <xdr:sp fLocksText="0">
      <xdr:nvSpPr>
        <xdr:cNvPr id="246" name="TextBox 2"/>
        <xdr:cNvSpPr txBox="1">
          <a:spLocks noChangeArrowheads="1"/>
        </xdr:cNvSpPr>
      </xdr:nvSpPr>
      <xdr:spPr>
        <a:xfrm>
          <a:off x="5429250" y="40643175"/>
          <a:ext cx="190500" cy="1304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47"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48"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49"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50"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51"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1276350"/>
    <xdr:sp fLocksText="0">
      <xdr:nvSpPr>
        <xdr:cNvPr id="252" name="TextBox 2"/>
        <xdr:cNvSpPr txBox="1">
          <a:spLocks noChangeArrowheads="1"/>
        </xdr:cNvSpPr>
      </xdr:nvSpPr>
      <xdr:spPr>
        <a:xfrm>
          <a:off x="5429250" y="40643175"/>
          <a:ext cx="190500" cy="1276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3"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4"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5"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6"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7"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58"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59"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60"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6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6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6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6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65"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66"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67"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68"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69"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95250"/>
    <xdr:sp fLocksText="0">
      <xdr:nvSpPr>
        <xdr:cNvPr id="270" name="TextBox 2"/>
        <xdr:cNvSpPr txBox="1">
          <a:spLocks noChangeArrowheads="1"/>
        </xdr:cNvSpPr>
      </xdr:nvSpPr>
      <xdr:spPr>
        <a:xfrm>
          <a:off x="5429250" y="33623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1"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2"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7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77"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78"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79"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80"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81"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76200"/>
    <xdr:sp fLocksText="0">
      <xdr:nvSpPr>
        <xdr:cNvPr id="282" name="TextBox 2"/>
        <xdr:cNvSpPr txBox="1">
          <a:spLocks noChangeArrowheads="1"/>
        </xdr:cNvSpPr>
      </xdr:nvSpPr>
      <xdr:spPr>
        <a:xfrm>
          <a:off x="5429250" y="33623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3"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4"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5"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6"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7"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71450" cy="57150"/>
    <xdr:sp fLocksText="0">
      <xdr:nvSpPr>
        <xdr:cNvPr id="288" name="TextBox 2"/>
        <xdr:cNvSpPr txBox="1">
          <a:spLocks noChangeArrowheads="1"/>
        </xdr:cNvSpPr>
      </xdr:nvSpPr>
      <xdr:spPr>
        <a:xfrm>
          <a:off x="5429250" y="33623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89"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90"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91"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92"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93"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294"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295"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296"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297"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298"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299"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00"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1"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2"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3"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4"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5"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06"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07"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08"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09"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10"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11"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12"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3"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4"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5"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6"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7"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18"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19"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20"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21"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22"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23"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24"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25"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26"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27"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28"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29"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95250"/>
    <xdr:sp fLocksText="0">
      <xdr:nvSpPr>
        <xdr:cNvPr id="330" name="TextBox 2"/>
        <xdr:cNvSpPr txBox="1">
          <a:spLocks noChangeArrowheads="1"/>
        </xdr:cNvSpPr>
      </xdr:nvSpPr>
      <xdr:spPr>
        <a:xfrm>
          <a:off x="5429250" y="406431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1"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2"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3"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4"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5"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36"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37"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38"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39"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40"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41"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76200"/>
    <xdr:sp fLocksText="0">
      <xdr:nvSpPr>
        <xdr:cNvPr id="342" name="TextBox 2"/>
        <xdr:cNvSpPr txBox="1">
          <a:spLocks noChangeArrowheads="1"/>
        </xdr:cNvSpPr>
      </xdr:nvSpPr>
      <xdr:spPr>
        <a:xfrm>
          <a:off x="5429250" y="406431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3"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4"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5"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6"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7"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209550" cy="57150"/>
    <xdr:sp fLocksText="0">
      <xdr:nvSpPr>
        <xdr:cNvPr id="348" name="TextBox 2"/>
        <xdr:cNvSpPr txBox="1">
          <a:spLocks noChangeArrowheads="1"/>
        </xdr:cNvSpPr>
      </xdr:nvSpPr>
      <xdr:spPr>
        <a:xfrm>
          <a:off x="5429250" y="406431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49"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50"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51"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52"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53"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71500"/>
    <xdr:sp fLocksText="0">
      <xdr:nvSpPr>
        <xdr:cNvPr id="354" name="TextBox 2"/>
        <xdr:cNvSpPr txBox="1">
          <a:spLocks noChangeArrowheads="1"/>
        </xdr:cNvSpPr>
      </xdr:nvSpPr>
      <xdr:spPr>
        <a:xfrm>
          <a:off x="5429250" y="40643175"/>
          <a:ext cx="190500"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55"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56"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57"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58"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59"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225</xdr:row>
      <xdr:rowOff>0</xdr:rowOff>
    </xdr:from>
    <xdr:ext cx="190500" cy="542925"/>
    <xdr:sp fLocksText="0">
      <xdr:nvSpPr>
        <xdr:cNvPr id="360" name="TextBox 2"/>
        <xdr:cNvSpPr txBox="1">
          <a:spLocks noChangeArrowheads="1"/>
        </xdr:cNvSpPr>
      </xdr:nvSpPr>
      <xdr:spPr>
        <a:xfrm>
          <a:off x="5429250" y="40643175"/>
          <a:ext cx="190500" cy="542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46</xdr:row>
      <xdr:rowOff>0</xdr:rowOff>
    </xdr:from>
    <xdr:ext cx="104775" cy="647700"/>
    <xdr:sp fLocksText="0">
      <xdr:nvSpPr>
        <xdr:cNvPr id="1"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2"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4"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5"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6"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7"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8"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9"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10"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11"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12"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13"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14"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15"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16"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17"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18"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19"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0"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1"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2"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3"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4"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5"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6"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7"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28"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29"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0"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1"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2"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3"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4"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5"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6"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7"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8"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39"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40"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41"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647700"/>
    <xdr:sp fLocksText="0">
      <xdr:nvSpPr>
        <xdr:cNvPr id="42" name="TextBox 2"/>
        <xdr:cNvSpPr txBox="1">
          <a:spLocks noChangeArrowheads="1"/>
        </xdr:cNvSpPr>
      </xdr:nvSpPr>
      <xdr:spPr>
        <a:xfrm>
          <a:off x="5534025" y="12496800"/>
          <a:ext cx="104775"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3"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4"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5"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6"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7"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8"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49"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0"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1"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2"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3"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4"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5"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46</xdr:row>
      <xdr:rowOff>0</xdr:rowOff>
    </xdr:from>
    <xdr:ext cx="104775" cy="504825"/>
    <xdr:sp fLocksText="0">
      <xdr:nvSpPr>
        <xdr:cNvPr id="56" name="TextBox 2"/>
        <xdr:cNvSpPr txBox="1">
          <a:spLocks noChangeArrowheads="1"/>
        </xdr:cNvSpPr>
      </xdr:nvSpPr>
      <xdr:spPr>
        <a:xfrm>
          <a:off x="5534025" y="12496800"/>
          <a:ext cx="104775" cy="504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142875</xdr:colOff>
      <xdr:row>5</xdr:row>
      <xdr:rowOff>161925</xdr:rowOff>
    </xdr:from>
    <xdr:ext cx="257175" cy="342900"/>
    <xdr:sp fLocksText="0">
      <xdr:nvSpPr>
        <xdr:cNvPr id="1" name="TextBox 2"/>
        <xdr:cNvSpPr txBox="1">
          <a:spLocks noChangeArrowheads="1"/>
        </xdr:cNvSpPr>
      </xdr:nvSpPr>
      <xdr:spPr>
        <a:xfrm>
          <a:off x="5000625" y="1581150"/>
          <a:ext cx="25717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4"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5"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6"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7"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8"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9"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10"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11"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12"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3"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4"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5"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6"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7"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18"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19"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20"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21"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22"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23"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24"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5"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6"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7"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8"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29"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0"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31"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32"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33"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4"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5"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6"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7"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8"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39"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0"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1"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2"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3"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4"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45"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46"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47"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48"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49"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50"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51"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2"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3"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4"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5"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6"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57"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58"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59"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60"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61"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62"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61950"/>
    <xdr:sp fLocksText="0">
      <xdr:nvSpPr>
        <xdr:cNvPr id="63" name="TextBox 2"/>
        <xdr:cNvSpPr txBox="1">
          <a:spLocks noChangeArrowheads="1"/>
        </xdr:cNvSpPr>
      </xdr:nvSpPr>
      <xdr:spPr>
        <a:xfrm>
          <a:off x="5248275" y="3086100"/>
          <a:ext cx="25717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64"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12</xdr:row>
      <xdr:rowOff>0</xdr:rowOff>
    </xdr:from>
    <xdr:ext cx="257175" cy="333375"/>
    <xdr:sp fLocksText="0">
      <xdr:nvSpPr>
        <xdr:cNvPr id="65" name="TextBox 2"/>
        <xdr:cNvSpPr txBox="1">
          <a:spLocks noChangeArrowheads="1"/>
        </xdr:cNvSpPr>
      </xdr:nvSpPr>
      <xdr:spPr>
        <a:xfrm>
          <a:off x="5248275" y="3086100"/>
          <a:ext cx="2571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24</xdr:row>
      <xdr:rowOff>47625</xdr:rowOff>
    </xdr:from>
    <xdr:ext cx="257175" cy="390525"/>
    <xdr:sp fLocksText="0">
      <xdr:nvSpPr>
        <xdr:cNvPr id="66" name="TextBox 2"/>
        <xdr:cNvSpPr txBox="1">
          <a:spLocks noChangeArrowheads="1"/>
        </xdr:cNvSpPr>
      </xdr:nvSpPr>
      <xdr:spPr>
        <a:xfrm>
          <a:off x="5581650" y="5400675"/>
          <a:ext cx="257175" cy="390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13</xdr:row>
      <xdr:rowOff>0</xdr:rowOff>
    </xdr:from>
    <xdr:ext cx="161925" cy="523875"/>
    <xdr:sp fLocksText="0">
      <xdr:nvSpPr>
        <xdr:cNvPr id="1"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3"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4"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5"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6"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7"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8"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9"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10"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11"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12"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3"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4"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5"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6"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7"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18"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19"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20"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21"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22"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23"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24"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5"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6"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7"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8"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29"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523875"/>
    <xdr:sp fLocksText="0">
      <xdr:nvSpPr>
        <xdr:cNvPr id="30" name="TextBox 2"/>
        <xdr:cNvSpPr txBox="1">
          <a:spLocks noChangeArrowheads="1"/>
        </xdr:cNvSpPr>
      </xdr:nvSpPr>
      <xdr:spPr>
        <a:xfrm>
          <a:off x="5343525" y="3390900"/>
          <a:ext cx="16192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31"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32"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61925" cy="495300"/>
    <xdr:sp fLocksText="0">
      <xdr:nvSpPr>
        <xdr:cNvPr id="33" name="TextBox 2"/>
        <xdr:cNvSpPr txBox="1">
          <a:spLocks noChangeArrowheads="1"/>
        </xdr:cNvSpPr>
      </xdr:nvSpPr>
      <xdr:spPr>
        <a:xfrm>
          <a:off x="5343525" y="3390900"/>
          <a:ext cx="16192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81</xdr:row>
      <xdr:rowOff>0</xdr:rowOff>
    </xdr:from>
    <xdr:ext cx="104775" cy="495300"/>
    <xdr:sp fLocksText="0">
      <xdr:nvSpPr>
        <xdr:cNvPr id="1"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3"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4"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5"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6"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7"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8"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9"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10"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11"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12"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3"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4"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5"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6"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7"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18"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19"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20"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21"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22"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23"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24"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5"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6"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7"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8"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29"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95300"/>
    <xdr:sp fLocksText="0">
      <xdr:nvSpPr>
        <xdr:cNvPr id="30" name="TextBox 2"/>
        <xdr:cNvSpPr txBox="1">
          <a:spLocks noChangeArrowheads="1"/>
        </xdr:cNvSpPr>
      </xdr:nvSpPr>
      <xdr:spPr>
        <a:xfrm>
          <a:off x="5295900" y="18249900"/>
          <a:ext cx="104775"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31"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32"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81</xdr:row>
      <xdr:rowOff>0</xdr:rowOff>
    </xdr:from>
    <xdr:ext cx="104775" cy="466725"/>
    <xdr:sp fLocksText="0">
      <xdr:nvSpPr>
        <xdr:cNvPr id="33" name="TextBox 2"/>
        <xdr:cNvSpPr txBox="1">
          <a:spLocks noChangeArrowheads="1"/>
        </xdr:cNvSpPr>
      </xdr:nvSpPr>
      <xdr:spPr>
        <a:xfrm>
          <a:off x="5295900" y="18249900"/>
          <a:ext cx="104775"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4"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5"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6"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7"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8"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39"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0"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1"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2"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3"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4"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45"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46"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47"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48"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49"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50"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51"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2"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3"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4"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5"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6"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57"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58"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59"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0"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1"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2"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3"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64"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65"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66"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7"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8"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69"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70"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71"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72"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3"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4"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5"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6"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7"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78"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79"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80"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81"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82"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83"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84"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85"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86"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87"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88"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89"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90"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1"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2"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3"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4"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5"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514350"/>
    <xdr:sp fLocksText="0">
      <xdr:nvSpPr>
        <xdr:cNvPr id="96" name="TextBox 2"/>
        <xdr:cNvSpPr txBox="1">
          <a:spLocks noChangeArrowheads="1"/>
        </xdr:cNvSpPr>
      </xdr:nvSpPr>
      <xdr:spPr>
        <a:xfrm>
          <a:off x="5295900" y="3190875"/>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97"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98"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13</xdr:row>
      <xdr:rowOff>0</xdr:rowOff>
    </xdr:from>
    <xdr:ext cx="104775" cy="476250"/>
    <xdr:sp fLocksText="0">
      <xdr:nvSpPr>
        <xdr:cNvPr id="99" name="TextBox 2"/>
        <xdr:cNvSpPr txBox="1">
          <a:spLocks noChangeArrowheads="1"/>
        </xdr:cNvSpPr>
      </xdr:nvSpPr>
      <xdr:spPr>
        <a:xfrm>
          <a:off x="5295900" y="3190875"/>
          <a:ext cx="104775" cy="476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28</xdr:row>
      <xdr:rowOff>47625</xdr:rowOff>
    </xdr:from>
    <xdr:ext cx="114300" cy="323850"/>
    <xdr:sp fLocksText="0">
      <xdr:nvSpPr>
        <xdr:cNvPr id="1" name="TextBox 2"/>
        <xdr:cNvSpPr txBox="1">
          <a:spLocks noChangeArrowheads="1"/>
        </xdr:cNvSpPr>
      </xdr:nvSpPr>
      <xdr:spPr>
        <a:xfrm>
          <a:off x="5048250" y="74771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3"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4"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5"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6"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7"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8"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9"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10"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11"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12"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3"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4"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5"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6"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7"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18"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19"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20"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21"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22"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23"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24"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5"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6"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7"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8"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29"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33375"/>
    <xdr:sp fLocksText="0">
      <xdr:nvSpPr>
        <xdr:cNvPr id="30" name="TextBox 2"/>
        <xdr:cNvSpPr txBox="1">
          <a:spLocks noChangeArrowheads="1"/>
        </xdr:cNvSpPr>
      </xdr:nvSpPr>
      <xdr:spPr>
        <a:xfrm>
          <a:off x="5191125" y="3362325"/>
          <a:ext cx="114300"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31"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32"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381000</xdr:colOff>
      <xdr:row>13</xdr:row>
      <xdr:rowOff>0</xdr:rowOff>
    </xdr:from>
    <xdr:ext cx="114300" cy="323850"/>
    <xdr:sp fLocksText="0">
      <xdr:nvSpPr>
        <xdr:cNvPr id="33" name="TextBox 2"/>
        <xdr:cNvSpPr txBox="1">
          <a:spLocks noChangeArrowheads="1"/>
        </xdr:cNvSpPr>
      </xdr:nvSpPr>
      <xdr:spPr>
        <a:xfrm>
          <a:off x="5191125" y="3362325"/>
          <a:ext cx="1143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16</xdr:row>
      <xdr:rowOff>0</xdr:rowOff>
    </xdr:from>
    <xdr:ext cx="190500" cy="695325"/>
    <xdr:sp fLocksText="0">
      <xdr:nvSpPr>
        <xdr:cNvPr id="1"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3"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4"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5"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6"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7"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8"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9"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10"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11"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12"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3"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4"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5"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6"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7"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18"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19"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20"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21"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22"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23"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24"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5"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6"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7"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8"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29"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95325"/>
    <xdr:sp fLocksText="0">
      <xdr:nvSpPr>
        <xdr:cNvPr id="30" name="TextBox 2"/>
        <xdr:cNvSpPr txBox="1">
          <a:spLocks noChangeArrowheads="1"/>
        </xdr:cNvSpPr>
      </xdr:nvSpPr>
      <xdr:spPr>
        <a:xfrm>
          <a:off x="5343525" y="3771900"/>
          <a:ext cx="190500" cy="695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31"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32"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390525</xdr:colOff>
      <xdr:row>16</xdr:row>
      <xdr:rowOff>0</xdr:rowOff>
    </xdr:from>
    <xdr:ext cx="190500" cy="666750"/>
    <xdr:sp fLocksText="0">
      <xdr:nvSpPr>
        <xdr:cNvPr id="33" name="TextBox 2"/>
        <xdr:cNvSpPr txBox="1">
          <a:spLocks noChangeArrowheads="1"/>
        </xdr:cNvSpPr>
      </xdr:nvSpPr>
      <xdr:spPr>
        <a:xfrm>
          <a:off x="5343525" y="3771900"/>
          <a:ext cx="1905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39"/>
  <sheetViews>
    <sheetView showZeros="0" tabSelected="1" view="pageBreakPreview" zoomScale="115" zoomScaleSheetLayoutView="115" zoomScalePageLayoutView="0" workbookViewId="0" topLeftCell="A1">
      <selection activeCell="B30" sqref="B30"/>
    </sheetView>
  </sheetViews>
  <sheetFormatPr defaultColWidth="11.421875" defaultRowHeight="15"/>
  <cols>
    <col min="1" max="1" width="8.7109375" style="286" customWidth="1"/>
    <col min="2" max="2" width="63.28125" style="286" customWidth="1"/>
    <col min="3" max="3" width="12.421875" style="286" customWidth="1"/>
    <col min="4" max="4" width="11.8515625" style="293" customWidth="1"/>
    <col min="5" max="16384" width="11.421875" style="264" customWidth="1"/>
  </cols>
  <sheetData>
    <row r="1" spans="1:4" ht="15.75">
      <c r="A1" s="544" t="s">
        <v>1453</v>
      </c>
      <c r="B1" s="544"/>
      <c r="C1" s="544"/>
      <c r="D1" s="544"/>
    </row>
    <row r="2" spans="1:4" ht="15">
      <c r="A2" s="545" t="s">
        <v>56</v>
      </c>
      <c r="B2" s="545"/>
      <c r="C2" s="545"/>
      <c r="D2" s="545"/>
    </row>
    <row r="3" spans="1:4" ht="12.75">
      <c r="A3" s="546" t="s">
        <v>1452</v>
      </c>
      <c r="B3" s="546"/>
      <c r="C3" s="546"/>
      <c r="D3" s="546"/>
    </row>
    <row r="4" spans="1:4" ht="12.75">
      <c r="A4" s="295"/>
      <c r="B4" s="295"/>
      <c r="C4" s="295"/>
      <c r="D4" s="295"/>
    </row>
    <row r="5" spans="1:4" ht="31.5" customHeight="1">
      <c r="A5" s="547" t="s">
        <v>1458</v>
      </c>
      <c r="B5" s="548"/>
      <c r="C5" s="548"/>
      <c r="D5" s="548"/>
    </row>
    <row r="6" spans="1:4" ht="30.75" customHeight="1">
      <c r="A6" s="547" t="s">
        <v>1473</v>
      </c>
      <c r="B6" s="548"/>
      <c r="C6" s="548"/>
      <c r="D6" s="548"/>
    </row>
    <row r="7" spans="1:4" ht="12.75">
      <c r="A7" s="549" t="s">
        <v>1459</v>
      </c>
      <c r="B7" s="550"/>
      <c r="C7" s="550"/>
      <c r="D7" s="550"/>
    </row>
    <row r="8" spans="1:4" ht="12.75">
      <c r="A8" s="296" t="s">
        <v>1460</v>
      </c>
      <c r="B8" s="297"/>
      <c r="C8" s="297"/>
      <c r="D8" s="297"/>
    </row>
    <row r="9" spans="1:4" ht="12.75">
      <c r="A9" s="551"/>
      <c r="B9" s="551"/>
      <c r="C9" s="543"/>
      <c r="D9" s="543"/>
    </row>
    <row r="10" spans="1:4" ht="12.75">
      <c r="A10" s="253" t="s">
        <v>1456</v>
      </c>
      <c r="B10" s="298"/>
      <c r="C10" s="298"/>
      <c r="D10" s="298"/>
    </row>
    <row r="11" spans="1:4" ht="12.75">
      <c r="A11" s="298"/>
      <c r="B11" s="298"/>
      <c r="C11" s="298"/>
      <c r="D11" s="298"/>
    </row>
    <row r="12" spans="1:8" ht="51" customHeight="1">
      <c r="A12" s="258" t="s">
        <v>886</v>
      </c>
      <c r="B12" s="259" t="s">
        <v>1455</v>
      </c>
      <c r="C12" s="258" t="s">
        <v>1464</v>
      </c>
      <c r="D12" s="259" t="s">
        <v>1465</v>
      </c>
      <c r="H12" s="535"/>
    </row>
    <row r="13" spans="1:4" ht="12.75">
      <c r="A13" s="259">
        <v>1</v>
      </c>
      <c r="B13" s="299">
        <v>2</v>
      </c>
      <c r="C13" s="299">
        <v>3</v>
      </c>
      <c r="D13" s="299">
        <v>4</v>
      </c>
    </row>
    <row r="14" spans="1:4" ht="12.75">
      <c r="A14" s="261"/>
      <c r="B14" s="262" t="s">
        <v>50</v>
      </c>
      <c r="C14" s="263"/>
      <c r="D14" s="207"/>
    </row>
    <row r="15" spans="1:4" ht="12.75">
      <c r="A15" s="261"/>
      <c r="B15" s="262" t="s">
        <v>1457</v>
      </c>
      <c r="C15" s="263"/>
      <c r="D15" s="207"/>
    </row>
    <row r="16" spans="1:4" ht="12.75">
      <c r="A16" s="265">
        <v>1</v>
      </c>
      <c r="B16" s="266" t="s">
        <v>52</v>
      </c>
      <c r="C16" s="267" t="s">
        <v>51</v>
      </c>
      <c r="D16" s="300">
        <f>297.5+21.87</f>
        <v>319.37</v>
      </c>
    </row>
    <row r="17" spans="1:4" ht="12.75">
      <c r="A17" s="265">
        <v>2</v>
      </c>
      <c r="B17" s="268" t="s">
        <v>53</v>
      </c>
      <c r="C17" s="39" t="s">
        <v>54</v>
      </c>
      <c r="D17" s="301">
        <v>20.5</v>
      </c>
    </row>
    <row r="18" spans="1:4" ht="12.75">
      <c r="A18" s="265">
        <v>3</v>
      </c>
      <c r="B18" s="268" t="s">
        <v>82</v>
      </c>
      <c r="C18" s="39" t="s">
        <v>54</v>
      </c>
      <c r="D18" s="301">
        <f>18.1+15+11+1+0.3+21.5+11.5+3.3</f>
        <v>81.7</v>
      </c>
    </row>
    <row r="19" spans="1:4" ht="12.75">
      <c r="A19" s="265">
        <v>4</v>
      </c>
      <c r="B19" s="269" t="s">
        <v>55</v>
      </c>
      <c r="C19" s="270" t="s">
        <v>54</v>
      </c>
      <c r="D19" s="302">
        <f>7.35+17.48+5.8+5.34+1.5</f>
        <v>37.47</v>
      </c>
    </row>
    <row r="20" spans="1:4" ht="12.75">
      <c r="A20" s="265">
        <v>5</v>
      </c>
      <c r="B20" s="269" t="s">
        <v>937</v>
      </c>
      <c r="C20" s="270" t="s">
        <v>54</v>
      </c>
      <c r="D20" s="302">
        <f>0.35+0.15+1+0.05</f>
        <v>1.55</v>
      </c>
    </row>
    <row r="21" spans="1:4" ht="12.75">
      <c r="A21" s="265">
        <v>6</v>
      </c>
      <c r="B21" s="272" t="s">
        <v>938</v>
      </c>
      <c r="C21" s="273" t="s">
        <v>51</v>
      </c>
      <c r="D21" s="302">
        <f>772.3+724.8+642.9+511.3+232.3</f>
        <v>2883.6000000000004</v>
      </c>
    </row>
    <row r="22" spans="1:4" ht="12.75">
      <c r="A22" s="265">
        <v>7</v>
      </c>
      <c r="B22" s="274" t="s">
        <v>1462</v>
      </c>
      <c r="C22" s="275" t="s">
        <v>51</v>
      </c>
      <c r="D22" s="303">
        <f>176.4+60.8</f>
        <v>237.2</v>
      </c>
    </row>
    <row r="23" spans="1:4" ht="12.75">
      <c r="A23" s="265">
        <v>8</v>
      </c>
      <c r="B23" s="276" t="s">
        <v>1461</v>
      </c>
      <c r="C23" s="273" t="s">
        <v>51</v>
      </c>
      <c r="D23" s="302">
        <f>427+D22</f>
        <v>664.2</v>
      </c>
    </row>
    <row r="24" spans="1:4" ht="12.75">
      <c r="A24" s="265">
        <v>9</v>
      </c>
      <c r="B24" s="277" t="s">
        <v>183</v>
      </c>
      <c r="C24" s="278" t="s">
        <v>51</v>
      </c>
      <c r="D24" s="304">
        <f>D23</f>
        <v>664.2</v>
      </c>
    </row>
    <row r="25" spans="1:4" ht="12.75">
      <c r="A25" s="265">
        <v>10</v>
      </c>
      <c r="B25" s="279" t="s">
        <v>939</v>
      </c>
      <c r="C25" s="280" t="s">
        <v>51</v>
      </c>
      <c r="D25" s="302">
        <f>737.7+1057.1+844.8+288.4</f>
        <v>2928</v>
      </c>
    </row>
    <row r="26" spans="1:4" ht="12.75">
      <c r="A26" s="265">
        <v>11</v>
      </c>
      <c r="B26" s="269" t="s">
        <v>184</v>
      </c>
      <c r="C26" s="270" t="s">
        <v>51</v>
      </c>
      <c r="D26" s="302">
        <f>237.75+265.45+207.7+217.6+37.6</f>
        <v>966.1</v>
      </c>
    </row>
    <row r="27" spans="1:4" ht="25.5">
      <c r="A27" s="265">
        <v>12</v>
      </c>
      <c r="B27" s="41" t="s">
        <v>88</v>
      </c>
      <c r="C27" s="281" t="s">
        <v>51</v>
      </c>
      <c r="D27" s="305">
        <f>1097.85+1085.85</f>
        <v>2183.7</v>
      </c>
    </row>
    <row r="28" spans="1:4" ht="12.75">
      <c r="A28" s="265">
        <v>13</v>
      </c>
      <c r="B28" s="282" t="s">
        <v>1470</v>
      </c>
      <c r="C28" s="283" t="s">
        <v>54</v>
      </c>
      <c r="D28" s="306">
        <f>29.75+D17+D18+D19+18.98+546+D20</f>
        <v>735.9499999999999</v>
      </c>
    </row>
    <row r="29" spans="1:4" ht="12.75">
      <c r="A29" s="265"/>
      <c r="B29" s="348" t="s">
        <v>1</v>
      </c>
      <c r="C29" s="283"/>
      <c r="D29" s="306"/>
    </row>
    <row r="30" spans="1:4" ht="120" customHeight="1">
      <c r="A30" s="265"/>
      <c r="B30" s="282" t="s">
        <v>1463</v>
      </c>
      <c r="C30" s="349" t="s">
        <v>2</v>
      </c>
      <c r="D30" s="306">
        <v>1</v>
      </c>
    </row>
    <row r="31" spans="1:4" ht="12.75">
      <c r="A31" s="284"/>
      <c r="B31" s="541" t="s">
        <v>13</v>
      </c>
      <c r="C31" s="542"/>
      <c r="D31" s="285"/>
    </row>
    <row r="32" spans="2:4" ht="12.75">
      <c r="B32" s="264"/>
      <c r="C32" s="264"/>
      <c r="D32" s="264"/>
    </row>
    <row r="33" spans="1:4" ht="12.75">
      <c r="A33" s="287" t="s">
        <v>14</v>
      </c>
      <c r="B33" s="288"/>
      <c r="D33" s="286"/>
    </row>
    <row r="34" spans="1:4" ht="12.75">
      <c r="A34" s="289"/>
      <c r="B34" s="290" t="s">
        <v>4</v>
      </c>
      <c r="D34" s="286"/>
    </row>
    <row r="35" spans="1:4" ht="12.75">
      <c r="A35" s="289"/>
      <c r="B35" s="291"/>
      <c r="D35" s="286"/>
    </row>
    <row r="36" spans="1:4" ht="12.75">
      <c r="A36" s="287" t="s">
        <v>6</v>
      </c>
      <c r="B36" s="288"/>
      <c r="D36" s="286"/>
    </row>
    <row r="37" spans="1:4" ht="12.75">
      <c r="A37" s="289"/>
      <c r="B37" s="290" t="s">
        <v>4</v>
      </c>
      <c r="D37" s="286"/>
    </row>
    <row r="38" spans="1:4" ht="12.75">
      <c r="A38" s="289" t="s">
        <v>5</v>
      </c>
      <c r="B38" s="351"/>
      <c r="D38" s="286"/>
    </row>
    <row r="39" spans="1:4" ht="12.75">
      <c r="A39" s="289"/>
      <c r="B39" s="288"/>
      <c r="D39" s="286"/>
    </row>
  </sheetData>
  <sheetProtection/>
  <mergeCells count="9">
    <mergeCell ref="B31:C31"/>
    <mergeCell ref="C9:D9"/>
    <mergeCell ref="A1:D1"/>
    <mergeCell ref="A2:D2"/>
    <mergeCell ref="A3:D3"/>
    <mergeCell ref="A6:D6"/>
    <mergeCell ref="A5:D5"/>
    <mergeCell ref="A7:D7"/>
    <mergeCell ref="A9:B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FF0000"/>
  </sheetPr>
  <dimension ref="A1:D391"/>
  <sheetViews>
    <sheetView showZeros="0" view="pageBreakPreview" zoomScale="130" zoomScaleSheetLayoutView="130" zoomScalePageLayoutView="0" workbookViewId="0" topLeftCell="A367">
      <selection activeCell="B383" sqref="B383"/>
    </sheetView>
  </sheetViews>
  <sheetFormatPr defaultColWidth="11.421875" defaultRowHeight="15"/>
  <cols>
    <col min="1" max="1" width="9.421875" style="286" customWidth="1"/>
    <col min="2" max="2" width="55.140625" style="286" customWidth="1"/>
    <col min="3" max="3" width="11.00390625" style="286" customWidth="1"/>
    <col min="4" max="4" width="10.57421875" style="293" customWidth="1"/>
    <col min="5" max="5" width="10.140625" style="254" customWidth="1"/>
    <col min="6" max="16384" width="11.421875" style="254" customWidth="1"/>
  </cols>
  <sheetData>
    <row r="1" spans="1:4" ht="15.75">
      <c r="A1" s="544" t="s">
        <v>1507</v>
      </c>
      <c r="B1" s="544"/>
      <c r="C1" s="544"/>
      <c r="D1" s="544"/>
    </row>
    <row r="2" spans="1:4" ht="15">
      <c r="A2" s="545" t="s">
        <v>889</v>
      </c>
      <c r="B2" s="545"/>
      <c r="C2" s="545"/>
      <c r="D2" s="545"/>
    </row>
    <row r="3" spans="1:4" ht="15">
      <c r="A3" s="546" t="s">
        <v>1452</v>
      </c>
      <c r="B3" s="546"/>
      <c r="C3" s="546"/>
      <c r="D3" s="546"/>
    </row>
    <row r="4" spans="1:4" ht="15">
      <c r="A4" s="255"/>
      <c r="B4" s="255"/>
      <c r="C4" s="255"/>
      <c r="D4" s="255"/>
    </row>
    <row r="5" spans="1:4" s="264" customFormat="1" ht="31.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
      <c r="A9" s="548"/>
      <c r="B9" s="548"/>
      <c r="C9" s="548"/>
      <c r="D9" s="548"/>
    </row>
    <row r="10" spans="1:4" ht="15">
      <c r="A10" s="550" t="s">
        <v>1508</v>
      </c>
      <c r="B10" s="550"/>
      <c r="C10" s="552"/>
      <c r="D10" s="552"/>
    </row>
    <row r="11" spans="1:4" ht="15">
      <c r="A11" s="307"/>
      <c r="B11" s="307"/>
      <c r="C11" s="307"/>
      <c r="D11" s="307"/>
    </row>
    <row r="12" spans="1:4" ht="47.25" customHeight="1">
      <c r="A12" s="309" t="s">
        <v>886</v>
      </c>
      <c r="B12" s="299" t="s">
        <v>1455</v>
      </c>
      <c r="C12" s="309" t="s">
        <v>1464</v>
      </c>
      <c r="D12" s="299" t="s">
        <v>1465</v>
      </c>
    </row>
    <row r="13" spans="1:4" ht="15">
      <c r="A13" s="260">
        <v>1</v>
      </c>
      <c r="B13" s="260">
        <v>2</v>
      </c>
      <c r="C13" s="260">
        <v>3</v>
      </c>
      <c r="D13" s="260">
        <v>4</v>
      </c>
    </row>
    <row r="14" spans="1:4" s="264" customFormat="1" ht="24" customHeight="1">
      <c r="A14" s="280"/>
      <c r="B14" s="415" t="s">
        <v>256</v>
      </c>
      <c r="C14" s="474"/>
      <c r="D14" s="431"/>
    </row>
    <row r="15" spans="1:4" s="264" customFormat="1" ht="255">
      <c r="A15" s="280">
        <v>1</v>
      </c>
      <c r="B15" s="475" t="s">
        <v>1683</v>
      </c>
      <c r="C15" s="280" t="s">
        <v>3</v>
      </c>
      <c r="D15" s="280">
        <v>1</v>
      </c>
    </row>
    <row r="16" spans="1:4" s="264" customFormat="1" ht="12.75" customHeight="1">
      <c r="A16" s="280">
        <v>2</v>
      </c>
      <c r="B16" s="476" t="s">
        <v>244</v>
      </c>
      <c r="C16" s="280" t="s">
        <v>15</v>
      </c>
      <c r="D16" s="267">
        <v>9</v>
      </c>
    </row>
    <row r="17" spans="1:4" s="264" customFormat="1" ht="12.75">
      <c r="A17" s="280">
        <v>3</v>
      </c>
      <c r="B17" s="476" t="s">
        <v>245</v>
      </c>
      <c r="C17" s="280" t="s">
        <v>15</v>
      </c>
      <c r="D17" s="267">
        <v>1</v>
      </c>
    </row>
    <row r="18" spans="1:4" s="264" customFormat="1" ht="12.75">
      <c r="A18" s="280">
        <v>4</v>
      </c>
      <c r="B18" s="476" t="s">
        <v>246</v>
      </c>
      <c r="C18" s="280" t="s">
        <v>15</v>
      </c>
      <c r="D18" s="267">
        <v>1</v>
      </c>
    </row>
    <row r="19" spans="1:4" s="264" customFormat="1" ht="12.75">
      <c r="A19" s="280">
        <v>5</v>
      </c>
      <c r="B19" s="476" t="s">
        <v>247</v>
      </c>
      <c r="C19" s="280" t="s">
        <v>15</v>
      </c>
      <c r="D19" s="267">
        <v>1</v>
      </c>
    </row>
    <row r="20" spans="1:4" s="264" customFormat="1" ht="12.75">
      <c r="A20" s="280">
        <v>6</v>
      </c>
      <c r="B20" s="476" t="s">
        <v>1446</v>
      </c>
      <c r="C20" s="280" t="s">
        <v>15</v>
      </c>
      <c r="D20" s="270">
        <v>2</v>
      </c>
    </row>
    <row r="21" spans="1:4" s="264" customFormat="1" ht="12.75">
      <c r="A21" s="280">
        <v>7</v>
      </c>
      <c r="B21" s="476" t="s">
        <v>249</v>
      </c>
      <c r="C21" s="280" t="s">
        <v>15</v>
      </c>
      <c r="D21" s="270">
        <v>4</v>
      </c>
    </row>
    <row r="22" spans="1:4" s="264" customFormat="1" ht="12.75">
      <c r="A22" s="280">
        <v>8</v>
      </c>
      <c r="B22" s="476" t="s">
        <v>250</v>
      </c>
      <c r="C22" s="280" t="s">
        <v>15</v>
      </c>
      <c r="D22" s="318">
        <v>1</v>
      </c>
    </row>
    <row r="23" spans="1:4" s="264" customFormat="1" ht="12.75">
      <c r="A23" s="280">
        <v>9</v>
      </c>
      <c r="B23" s="476" t="s">
        <v>251</v>
      </c>
      <c r="C23" s="280" t="s">
        <v>15</v>
      </c>
      <c r="D23" s="345">
        <v>1</v>
      </c>
    </row>
    <row r="24" spans="1:4" s="264" customFormat="1" ht="12.75">
      <c r="A24" s="280">
        <v>10</v>
      </c>
      <c r="B24" s="476" t="s">
        <v>252</v>
      </c>
      <c r="C24" s="280" t="s">
        <v>3</v>
      </c>
      <c r="D24" s="280">
        <v>1</v>
      </c>
    </row>
    <row r="25" spans="1:4" s="264" customFormat="1" ht="12.75">
      <c r="A25" s="280">
        <v>11</v>
      </c>
      <c r="B25" s="476" t="s">
        <v>253</v>
      </c>
      <c r="C25" s="280" t="s">
        <v>3</v>
      </c>
      <c r="D25" s="280">
        <v>1</v>
      </c>
    </row>
    <row r="26" spans="1:4" s="264" customFormat="1" ht="12.75">
      <c r="A26" s="280">
        <v>12</v>
      </c>
      <c r="B26" s="476" t="s">
        <v>254</v>
      </c>
      <c r="C26" s="280" t="s">
        <v>3</v>
      </c>
      <c r="D26" s="280">
        <v>1</v>
      </c>
    </row>
    <row r="27" spans="1:4" s="264" customFormat="1" ht="25.5">
      <c r="A27" s="280">
        <v>13</v>
      </c>
      <c r="B27" s="477" t="s">
        <v>255</v>
      </c>
      <c r="C27" s="280" t="s">
        <v>3</v>
      </c>
      <c r="D27" s="280">
        <v>1</v>
      </c>
    </row>
    <row r="28" spans="1:4" s="264" customFormat="1" ht="12.75">
      <c r="A28" s="280"/>
      <c r="B28" s="393" t="s">
        <v>310</v>
      </c>
      <c r="C28" s="280"/>
      <c r="D28" s="280"/>
    </row>
    <row r="29" spans="1:4" s="264" customFormat="1" ht="213.75" customHeight="1">
      <c r="A29" s="280">
        <v>14</v>
      </c>
      <c r="B29" s="477" t="s">
        <v>854</v>
      </c>
      <c r="C29" s="280" t="s">
        <v>3</v>
      </c>
      <c r="D29" s="280">
        <v>1</v>
      </c>
    </row>
    <row r="30" spans="1:4" s="264" customFormat="1" ht="12.75">
      <c r="A30" s="280">
        <v>15</v>
      </c>
      <c r="B30" s="476" t="s">
        <v>311</v>
      </c>
      <c r="C30" s="280" t="s">
        <v>15</v>
      </c>
      <c r="D30" s="267">
        <v>6</v>
      </c>
    </row>
    <row r="31" spans="1:4" s="264" customFormat="1" ht="12.75">
      <c r="A31" s="280">
        <v>16</v>
      </c>
      <c r="B31" s="476" t="s">
        <v>312</v>
      </c>
      <c r="C31" s="280" t="s">
        <v>15</v>
      </c>
      <c r="D31" s="267">
        <v>10</v>
      </c>
    </row>
    <row r="32" spans="1:4" s="264" customFormat="1" ht="12.75">
      <c r="A32" s="280">
        <v>17</v>
      </c>
      <c r="B32" s="476" t="s">
        <v>313</v>
      </c>
      <c r="C32" s="280" t="s">
        <v>15</v>
      </c>
      <c r="D32" s="267">
        <v>1</v>
      </c>
    </row>
    <row r="33" spans="1:4" s="264" customFormat="1" ht="12.75">
      <c r="A33" s="280">
        <v>18</v>
      </c>
      <c r="B33" s="476" t="s">
        <v>314</v>
      </c>
      <c r="C33" s="280" t="s">
        <v>15</v>
      </c>
      <c r="D33" s="267">
        <v>5</v>
      </c>
    </row>
    <row r="34" spans="1:4" s="264" customFormat="1" ht="12.75">
      <c r="A34" s="280">
        <v>19</v>
      </c>
      <c r="B34" s="476" t="s">
        <v>315</v>
      </c>
      <c r="C34" s="280" t="s">
        <v>15</v>
      </c>
      <c r="D34" s="267">
        <v>3</v>
      </c>
    </row>
    <row r="35" spans="1:4" s="264" customFormat="1" ht="25.5">
      <c r="A35" s="280">
        <v>20</v>
      </c>
      <c r="B35" s="399" t="s">
        <v>1288</v>
      </c>
      <c r="C35" s="280" t="s">
        <v>15</v>
      </c>
      <c r="D35" s="267">
        <v>1</v>
      </c>
    </row>
    <row r="36" spans="1:4" s="264" customFormat="1" ht="25.5">
      <c r="A36" s="280">
        <v>21</v>
      </c>
      <c r="B36" s="399" t="s">
        <v>1289</v>
      </c>
      <c r="C36" s="280" t="s">
        <v>15</v>
      </c>
      <c r="D36" s="267">
        <v>2</v>
      </c>
    </row>
    <row r="37" spans="1:4" s="264" customFormat="1" ht="12.75">
      <c r="A37" s="280">
        <v>22</v>
      </c>
      <c r="B37" s="478" t="s">
        <v>316</v>
      </c>
      <c r="C37" s="280" t="s">
        <v>15</v>
      </c>
      <c r="D37" s="267">
        <v>1</v>
      </c>
    </row>
    <row r="38" spans="1:4" s="264" customFormat="1" ht="12.75">
      <c r="A38" s="280">
        <v>23</v>
      </c>
      <c r="B38" s="476" t="s">
        <v>367</v>
      </c>
      <c r="C38" s="280" t="s">
        <v>15</v>
      </c>
      <c r="D38" s="267">
        <v>1</v>
      </c>
    </row>
    <row r="39" spans="1:4" s="264" customFormat="1" ht="12.75">
      <c r="A39" s="280">
        <v>24</v>
      </c>
      <c r="B39" s="478" t="s">
        <v>354</v>
      </c>
      <c r="C39" s="280" t="s">
        <v>15</v>
      </c>
      <c r="D39" s="345">
        <v>1</v>
      </c>
    </row>
    <row r="40" spans="1:4" s="264" customFormat="1" ht="12.75">
      <c r="A40" s="280">
        <v>25</v>
      </c>
      <c r="B40" s="478" t="s">
        <v>317</v>
      </c>
      <c r="C40" s="280" t="s">
        <v>15</v>
      </c>
      <c r="D40" s="267">
        <v>12</v>
      </c>
    </row>
    <row r="41" spans="1:4" s="264" customFormat="1" ht="12.75">
      <c r="A41" s="280">
        <v>26</v>
      </c>
      <c r="B41" s="478" t="s">
        <v>355</v>
      </c>
      <c r="C41" s="280" t="s">
        <v>15</v>
      </c>
      <c r="D41" s="267">
        <v>1</v>
      </c>
    </row>
    <row r="42" spans="1:4" s="264" customFormat="1" ht="12.75">
      <c r="A42" s="280">
        <v>27</v>
      </c>
      <c r="B42" s="478" t="s">
        <v>246</v>
      </c>
      <c r="C42" s="280" t="s">
        <v>15</v>
      </c>
      <c r="D42" s="267">
        <v>1</v>
      </c>
    </row>
    <row r="43" spans="1:4" s="264" customFormat="1" ht="12.75">
      <c r="A43" s="280">
        <v>28</v>
      </c>
      <c r="B43" s="476" t="s">
        <v>318</v>
      </c>
      <c r="C43" s="280" t="s">
        <v>15</v>
      </c>
      <c r="D43" s="267">
        <v>1</v>
      </c>
    </row>
    <row r="44" spans="1:4" s="264" customFormat="1" ht="12.75">
      <c r="A44" s="280">
        <v>29</v>
      </c>
      <c r="B44" s="476" t="s">
        <v>319</v>
      </c>
      <c r="C44" s="280" t="s">
        <v>15</v>
      </c>
      <c r="D44" s="270">
        <v>1</v>
      </c>
    </row>
    <row r="45" spans="1:4" s="264" customFormat="1" ht="12.75">
      <c r="A45" s="280">
        <v>30</v>
      </c>
      <c r="B45" s="476" t="s">
        <v>248</v>
      </c>
      <c r="C45" s="280" t="s">
        <v>15</v>
      </c>
      <c r="D45" s="270">
        <v>1</v>
      </c>
    </row>
    <row r="46" spans="1:4" s="264" customFormat="1" ht="12.75">
      <c r="A46" s="280">
        <v>31</v>
      </c>
      <c r="B46" s="476" t="s">
        <v>320</v>
      </c>
      <c r="C46" s="280" t="s">
        <v>15</v>
      </c>
      <c r="D46" s="270">
        <v>1</v>
      </c>
    </row>
    <row r="47" spans="1:4" s="264" customFormat="1" ht="12.75">
      <c r="A47" s="280">
        <v>32</v>
      </c>
      <c r="B47" s="476" t="s">
        <v>249</v>
      </c>
      <c r="C47" s="280" t="s">
        <v>15</v>
      </c>
      <c r="D47" s="270">
        <v>4</v>
      </c>
    </row>
    <row r="48" spans="1:4" s="264" customFormat="1" ht="12.75">
      <c r="A48" s="280">
        <v>33</v>
      </c>
      <c r="B48" s="476" t="s">
        <v>321</v>
      </c>
      <c r="C48" s="280" t="s">
        <v>15</v>
      </c>
      <c r="D48" s="270">
        <v>1</v>
      </c>
    </row>
    <row r="49" spans="1:4" s="264" customFormat="1" ht="12.75">
      <c r="A49" s="280">
        <v>34</v>
      </c>
      <c r="B49" s="476" t="s">
        <v>1447</v>
      </c>
      <c r="C49" s="280" t="s">
        <v>15</v>
      </c>
      <c r="D49" s="479">
        <v>1</v>
      </c>
    </row>
    <row r="50" spans="1:4" s="264" customFormat="1" ht="12.75">
      <c r="A50" s="280">
        <v>35</v>
      </c>
      <c r="B50" s="476" t="s">
        <v>252</v>
      </c>
      <c r="C50" s="280" t="s">
        <v>3</v>
      </c>
      <c r="D50" s="280">
        <v>1</v>
      </c>
    </row>
    <row r="51" spans="1:4" s="264" customFormat="1" ht="12.75">
      <c r="A51" s="280">
        <v>36</v>
      </c>
      <c r="B51" s="476" t="s">
        <v>253</v>
      </c>
      <c r="C51" s="280" t="s">
        <v>3</v>
      </c>
      <c r="D51" s="280">
        <v>1</v>
      </c>
    </row>
    <row r="52" spans="1:4" s="264" customFormat="1" ht="12.75">
      <c r="A52" s="280">
        <v>37</v>
      </c>
      <c r="B52" s="476" t="s">
        <v>254</v>
      </c>
      <c r="C52" s="280" t="s">
        <v>3</v>
      </c>
      <c r="D52" s="280">
        <v>1</v>
      </c>
    </row>
    <row r="53" spans="1:4" s="264" customFormat="1" ht="25.5">
      <c r="A53" s="280">
        <v>38</v>
      </c>
      <c r="B53" s="477" t="s">
        <v>255</v>
      </c>
      <c r="C53" s="280" t="s">
        <v>3</v>
      </c>
      <c r="D53" s="280">
        <v>1</v>
      </c>
    </row>
    <row r="54" spans="1:4" s="387" customFormat="1" ht="12.75">
      <c r="A54" s="409"/>
      <c r="B54" s="480" t="s">
        <v>322</v>
      </c>
      <c r="C54" s="409"/>
      <c r="D54" s="409"/>
    </row>
    <row r="55" spans="1:4" s="264" customFormat="1" ht="318.75">
      <c r="A55" s="280">
        <v>39</v>
      </c>
      <c r="B55" s="477" t="s">
        <v>1684</v>
      </c>
      <c r="C55" s="280" t="s">
        <v>3</v>
      </c>
      <c r="D55" s="280">
        <v>1</v>
      </c>
    </row>
    <row r="56" spans="1:4" s="264" customFormat="1" ht="25.5">
      <c r="A56" s="280">
        <v>40</v>
      </c>
      <c r="B56" s="477" t="s">
        <v>327</v>
      </c>
      <c r="C56" s="280" t="s">
        <v>15</v>
      </c>
      <c r="D56" s="481">
        <v>8</v>
      </c>
    </row>
    <row r="57" spans="1:4" s="264" customFormat="1" ht="25.5">
      <c r="A57" s="280">
        <v>41</v>
      </c>
      <c r="B57" s="477" t="s">
        <v>1674</v>
      </c>
      <c r="C57" s="280" t="s">
        <v>15</v>
      </c>
      <c r="D57" s="481">
        <v>8</v>
      </c>
    </row>
    <row r="58" spans="1:4" s="264" customFormat="1" ht="12.75">
      <c r="A58" s="280">
        <v>42</v>
      </c>
      <c r="B58" s="476" t="s">
        <v>323</v>
      </c>
      <c r="C58" s="280" t="s">
        <v>15</v>
      </c>
      <c r="D58" s="270"/>
    </row>
    <row r="59" spans="1:4" s="264" customFormat="1" ht="12.75">
      <c r="A59" s="280">
        <v>43</v>
      </c>
      <c r="B59" s="476" t="s">
        <v>324</v>
      </c>
      <c r="C59" s="280" t="s">
        <v>15</v>
      </c>
      <c r="D59" s="270">
        <v>2</v>
      </c>
    </row>
    <row r="60" spans="1:4" s="264" customFormat="1" ht="12.75">
      <c r="A60" s="280">
        <v>44</v>
      </c>
      <c r="B60" s="476" t="s">
        <v>249</v>
      </c>
      <c r="C60" s="280" t="s">
        <v>15</v>
      </c>
      <c r="D60" s="270">
        <v>4</v>
      </c>
    </row>
    <row r="61" spans="1:4" s="264" customFormat="1" ht="12.75">
      <c r="A61" s="280">
        <v>45</v>
      </c>
      <c r="B61" s="476" t="s">
        <v>325</v>
      </c>
      <c r="C61" s="280" t="s">
        <v>15</v>
      </c>
      <c r="D61" s="270">
        <v>1</v>
      </c>
    </row>
    <row r="62" spans="1:4" s="264" customFormat="1" ht="12.75">
      <c r="A62" s="280">
        <v>46</v>
      </c>
      <c r="B62" s="476" t="s">
        <v>326</v>
      </c>
      <c r="C62" s="280" t="s">
        <v>15</v>
      </c>
      <c r="D62" s="479">
        <v>1</v>
      </c>
    </row>
    <row r="63" spans="1:4" s="264" customFormat="1" ht="12.75">
      <c r="A63" s="280">
        <v>47</v>
      </c>
      <c r="B63" s="476" t="s">
        <v>252</v>
      </c>
      <c r="C63" s="280" t="s">
        <v>3</v>
      </c>
      <c r="D63" s="280">
        <v>1</v>
      </c>
    </row>
    <row r="64" spans="1:4" s="264" customFormat="1" ht="12.75">
      <c r="A64" s="280">
        <v>48</v>
      </c>
      <c r="B64" s="476" t="s">
        <v>253</v>
      </c>
      <c r="C64" s="280" t="s">
        <v>3</v>
      </c>
      <c r="D64" s="280">
        <v>1</v>
      </c>
    </row>
    <row r="65" spans="1:4" s="264" customFormat="1" ht="12.75">
      <c r="A65" s="280">
        <v>49</v>
      </c>
      <c r="B65" s="476" t="s">
        <v>254</v>
      </c>
      <c r="C65" s="280" t="s">
        <v>3</v>
      </c>
      <c r="D65" s="280">
        <v>1</v>
      </c>
    </row>
    <row r="66" spans="1:4" s="264" customFormat="1" ht="25.5">
      <c r="A66" s="280">
        <v>50</v>
      </c>
      <c r="B66" s="477" t="s">
        <v>328</v>
      </c>
      <c r="C66" s="280" t="s">
        <v>3</v>
      </c>
      <c r="D66" s="280">
        <v>1</v>
      </c>
    </row>
    <row r="67" spans="1:4" s="264" customFormat="1" ht="12.75">
      <c r="A67" s="280"/>
      <c r="B67" s="482" t="s">
        <v>329</v>
      </c>
      <c r="C67" s="280"/>
      <c r="D67" s="280"/>
    </row>
    <row r="68" spans="1:4" s="264" customFormat="1" ht="204">
      <c r="A68" s="280">
        <v>51</v>
      </c>
      <c r="B68" s="475" t="s">
        <v>856</v>
      </c>
      <c r="C68" s="280" t="s">
        <v>3</v>
      </c>
      <c r="D68" s="280">
        <v>1</v>
      </c>
    </row>
    <row r="69" spans="1:4" s="264" customFormat="1" ht="25.5">
      <c r="A69" s="280">
        <v>52</v>
      </c>
      <c r="B69" s="477" t="s">
        <v>1675</v>
      </c>
      <c r="C69" s="280" t="s">
        <v>15</v>
      </c>
      <c r="D69" s="481">
        <v>14</v>
      </c>
    </row>
    <row r="70" spans="1:4" s="264" customFormat="1" ht="25.5">
      <c r="A70" s="280">
        <v>53</v>
      </c>
      <c r="B70" s="477" t="s">
        <v>1676</v>
      </c>
      <c r="C70" s="280" t="s">
        <v>15</v>
      </c>
      <c r="D70" s="481">
        <v>14</v>
      </c>
    </row>
    <row r="71" spans="1:4" s="264" customFormat="1" ht="12.75">
      <c r="A71" s="280">
        <v>54</v>
      </c>
      <c r="B71" s="476" t="s">
        <v>317</v>
      </c>
      <c r="C71" s="280" t="s">
        <v>15</v>
      </c>
      <c r="D71" s="267">
        <v>3</v>
      </c>
    </row>
    <row r="72" spans="1:4" s="264" customFormat="1" ht="12.75">
      <c r="A72" s="280">
        <v>55</v>
      </c>
      <c r="B72" s="476" t="s">
        <v>330</v>
      </c>
      <c r="C72" s="280" t="s">
        <v>15</v>
      </c>
      <c r="D72" s="270">
        <v>2</v>
      </c>
    </row>
    <row r="73" spans="1:4" s="264" customFormat="1" ht="12.75">
      <c r="A73" s="280">
        <v>56</v>
      </c>
      <c r="B73" s="476" t="s">
        <v>249</v>
      </c>
      <c r="C73" s="280" t="s">
        <v>15</v>
      </c>
      <c r="D73" s="270">
        <v>6</v>
      </c>
    </row>
    <row r="74" spans="1:4" s="264" customFormat="1" ht="12.75">
      <c r="A74" s="280">
        <v>57</v>
      </c>
      <c r="B74" s="476" t="s">
        <v>331</v>
      </c>
      <c r="C74" s="280" t="s">
        <v>15</v>
      </c>
      <c r="D74" s="270">
        <v>1</v>
      </c>
    </row>
    <row r="75" spans="1:4" s="264" customFormat="1" ht="12.75">
      <c r="A75" s="280">
        <v>58</v>
      </c>
      <c r="B75" s="476" t="s">
        <v>332</v>
      </c>
      <c r="C75" s="280" t="s">
        <v>15</v>
      </c>
      <c r="D75" s="479">
        <v>1</v>
      </c>
    </row>
    <row r="76" spans="1:4" s="264" customFormat="1" ht="12.75">
      <c r="A76" s="280">
        <v>59</v>
      </c>
      <c r="B76" s="476" t="s">
        <v>252</v>
      </c>
      <c r="C76" s="280" t="s">
        <v>3</v>
      </c>
      <c r="D76" s="280">
        <v>1</v>
      </c>
    </row>
    <row r="77" spans="1:4" s="264" customFormat="1" ht="12.75">
      <c r="A77" s="280">
        <v>60</v>
      </c>
      <c r="B77" s="476" t="s">
        <v>253</v>
      </c>
      <c r="C77" s="280" t="s">
        <v>3</v>
      </c>
      <c r="D77" s="280">
        <v>1</v>
      </c>
    </row>
    <row r="78" spans="1:4" s="264" customFormat="1" ht="12.75">
      <c r="A78" s="280">
        <v>61</v>
      </c>
      <c r="B78" s="476" t="s">
        <v>254</v>
      </c>
      <c r="C78" s="280" t="s">
        <v>3</v>
      </c>
      <c r="D78" s="280">
        <v>1</v>
      </c>
    </row>
    <row r="79" spans="1:4" s="264" customFormat="1" ht="25.5">
      <c r="A79" s="280">
        <v>62</v>
      </c>
      <c r="B79" s="477" t="s">
        <v>328</v>
      </c>
      <c r="C79" s="280" t="s">
        <v>3</v>
      </c>
      <c r="D79" s="280">
        <v>1</v>
      </c>
    </row>
    <row r="80" spans="1:4" s="264" customFormat="1" ht="12.75">
      <c r="A80" s="280"/>
      <c r="B80" s="482" t="s">
        <v>333</v>
      </c>
      <c r="C80" s="280"/>
      <c r="D80" s="280"/>
    </row>
    <row r="81" spans="1:4" s="264" customFormat="1" ht="230.25" customHeight="1">
      <c r="A81" s="280">
        <v>63</v>
      </c>
      <c r="B81" s="477" t="s">
        <v>855</v>
      </c>
      <c r="C81" s="280" t="s">
        <v>3</v>
      </c>
      <c r="D81" s="280">
        <v>1</v>
      </c>
    </row>
    <row r="82" spans="1:4" s="264" customFormat="1" ht="25.5">
      <c r="A82" s="280">
        <v>64</v>
      </c>
      <c r="B82" s="477" t="s">
        <v>1677</v>
      </c>
      <c r="C82" s="280" t="s">
        <v>15</v>
      </c>
      <c r="D82" s="481">
        <v>2</v>
      </c>
    </row>
    <row r="83" spans="1:4" s="264" customFormat="1" ht="25.5">
      <c r="A83" s="280">
        <v>65</v>
      </c>
      <c r="B83" s="477" t="s">
        <v>1675</v>
      </c>
      <c r="C83" s="280" t="s">
        <v>15</v>
      </c>
      <c r="D83" s="481">
        <v>12</v>
      </c>
    </row>
    <row r="84" spans="1:4" s="264" customFormat="1" ht="25.5">
      <c r="A84" s="280">
        <v>66</v>
      </c>
      <c r="B84" s="477" t="s">
        <v>1678</v>
      </c>
      <c r="C84" s="280" t="s">
        <v>15</v>
      </c>
      <c r="D84" s="481">
        <v>2</v>
      </c>
    </row>
    <row r="85" spans="1:4" s="264" customFormat="1" ht="25.5">
      <c r="A85" s="280">
        <v>67</v>
      </c>
      <c r="B85" s="477" t="s">
        <v>1679</v>
      </c>
      <c r="C85" s="280" t="s">
        <v>15</v>
      </c>
      <c r="D85" s="481">
        <v>12</v>
      </c>
    </row>
    <row r="86" spans="1:4" s="264" customFormat="1" ht="12.75">
      <c r="A86" s="280">
        <v>68</v>
      </c>
      <c r="B86" s="476" t="s">
        <v>317</v>
      </c>
      <c r="C86" s="280" t="s">
        <v>15</v>
      </c>
      <c r="D86" s="267">
        <v>3</v>
      </c>
    </row>
    <row r="87" spans="1:4" s="264" customFormat="1" ht="12.75">
      <c r="A87" s="280">
        <v>69</v>
      </c>
      <c r="B87" s="476" t="s">
        <v>330</v>
      </c>
      <c r="C87" s="280" t="s">
        <v>15</v>
      </c>
      <c r="D87" s="270">
        <v>2</v>
      </c>
    </row>
    <row r="88" spans="1:4" s="264" customFormat="1" ht="12.75">
      <c r="A88" s="280">
        <v>70</v>
      </c>
      <c r="B88" s="476" t="s">
        <v>249</v>
      </c>
      <c r="C88" s="280" t="s">
        <v>15</v>
      </c>
      <c r="D88" s="270">
        <v>6</v>
      </c>
    </row>
    <row r="89" spans="1:4" s="264" customFormat="1" ht="12.75">
      <c r="A89" s="280">
        <v>71</v>
      </c>
      <c r="B89" s="476" t="s">
        <v>331</v>
      </c>
      <c r="C89" s="280" t="s">
        <v>15</v>
      </c>
      <c r="D89" s="270">
        <v>1</v>
      </c>
    </row>
    <row r="90" spans="1:4" s="264" customFormat="1" ht="12.75">
      <c r="A90" s="280">
        <v>72</v>
      </c>
      <c r="B90" s="476" t="s">
        <v>332</v>
      </c>
      <c r="C90" s="280" t="s">
        <v>15</v>
      </c>
      <c r="D90" s="479">
        <v>1</v>
      </c>
    </row>
    <row r="91" spans="1:4" s="264" customFormat="1" ht="12.75">
      <c r="A91" s="280">
        <v>73</v>
      </c>
      <c r="B91" s="476" t="s">
        <v>252</v>
      </c>
      <c r="C91" s="280" t="s">
        <v>3</v>
      </c>
      <c r="D91" s="280">
        <v>1</v>
      </c>
    </row>
    <row r="92" spans="1:4" s="264" customFormat="1" ht="12.75">
      <c r="A92" s="280">
        <v>74</v>
      </c>
      <c r="B92" s="476" t="s">
        <v>253</v>
      </c>
      <c r="C92" s="280" t="s">
        <v>3</v>
      </c>
      <c r="D92" s="280">
        <v>1</v>
      </c>
    </row>
    <row r="93" spans="1:4" s="264" customFormat="1" ht="12.75">
      <c r="A93" s="280">
        <v>75</v>
      </c>
      <c r="B93" s="476" t="s">
        <v>254</v>
      </c>
      <c r="C93" s="280" t="s">
        <v>3</v>
      </c>
      <c r="D93" s="280">
        <v>1</v>
      </c>
    </row>
    <row r="94" spans="1:4" s="264" customFormat="1" ht="25.5">
      <c r="A94" s="280">
        <v>76</v>
      </c>
      <c r="B94" s="477" t="s">
        <v>255</v>
      </c>
      <c r="C94" s="280" t="s">
        <v>3</v>
      </c>
      <c r="D94" s="280">
        <v>1</v>
      </c>
    </row>
    <row r="95" spans="1:4" s="264" customFormat="1" ht="12.75">
      <c r="A95" s="280"/>
      <c r="B95" s="482" t="s">
        <v>334</v>
      </c>
      <c r="C95" s="280"/>
      <c r="D95" s="280"/>
    </row>
    <row r="96" spans="1:4" s="264" customFormat="1" ht="204">
      <c r="A96" s="280">
        <v>77</v>
      </c>
      <c r="B96" s="475" t="s">
        <v>857</v>
      </c>
      <c r="C96" s="280" t="s">
        <v>3</v>
      </c>
      <c r="D96" s="280">
        <v>1</v>
      </c>
    </row>
    <row r="97" spans="1:4" s="264" customFormat="1" ht="25.5">
      <c r="A97" s="280">
        <v>78</v>
      </c>
      <c r="B97" s="477" t="s">
        <v>1675</v>
      </c>
      <c r="C97" s="280" t="s">
        <v>15</v>
      </c>
      <c r="D97" s="481">
        <v>14</v>
      </c>
    </row>
    <row r="98" spans="1:4" s="264" customFormat="1" ht="25.5">
      <c r="A98" s="280">
        <v>79</v>
      </c>
      <c r="B98" s="477" t="s">
        <v>1556</v>
      </c>
      <c r="C98" s="280" t="s">
        <v>15</v>
      </c>
      <c r="D98" s="481">
        <v>14</v>
      </c>
    </row>
    <row r="99" spans="1:4" s="264" customFormat="1" ht="12.75">
      <c r="A99" s="280">
        <v>80</v>
      </c>
      <c r="B99" s="476" t="s">
        <v>317</v>
      </c>
      <c r="C99" s="280" t="s">
        <v>15</v>
      </c>
      <c r="D99" s="267">
        <v>3</v>
      </c>
    </row>
    <row r="100" spans="1:4" s="264" customFormat="1" ht="12.75">
      <c r="A100" s="280">
        <v>81</v>
      </c>
      <c r="B100" s="476" t="s">
        <v>330</v>
      </c>
      <c r="C100" s="280" t="s">
        <v>15</v>
      </c>
      <c r="D100" s="270">
        <v>2</v>
      </c>
    </row>
    <row r="101" spans="1:4" s="264" customFormat="1" ht="12.75">
      <c r="A101" s="280">
        <v>82</v>
      </c>
      <c r="B101" s="476" t="s">
        <v>249</v>
      </c>
      <c r="C101" s="280" t="s">
        <v>15</v>
      </c>
      <c r="D101" s="270">
        <v>6</v>
      </c>
    </row>
    <row r="102" spans="1:4" s="264" customFormat="1" ht="12.75">
      <c r="A102" s="280">
        <v>83</v>
      </c>
      <c r="B102" s="476" t="s">
        <v>331</v>
      </c>
      <c r="C102" s="280" t="s">
        <v>15</v>
      </c>
      <c r="D102" s="270">
        <v>1</v>
      </c>
    </row>
    <row r="103" spans="1:4" s="264" customFormat="1" ht="12.75">
      <c r="A103" s="280">
        <v>84</v>
      </c>
      <c r="B103" s="476" t="s">
        <v>332</v>
      </c>
      <c r="C103" s="280" t="s">
        <v>15</v>
      </c>
      <c r="D103" s="479">
        <v>1</v>
      </c>
    </row>
    <row r="104" spans="1:4" s="264" customFormat="1" ht="12.75">
      <c r="A104" s="280">
        <v>85</v>
      </c>
      <c r="B104" s="476" t="s">
        <v>252</v>
      </c>
      <c r="C104" s="280" t="s">
        <v>3</v>
      </c>
      <c r="D104" s="280">
        <v>1</v>
      </c>
    </row>
    <row r="105" spans="1:4" s="264" customFormat="1" ht="12.75">
      <c r="A105" s="280">
        <v>86</v>
      </c>
      <c r="B105" s="476" t="s">
        <v>253</v>
      </c>
      <c r="C105" s="280" t="s">
        <v>3</v>
      </c>
      <c r="D105" s="280">
        <v>1</v>
      </c>
    </row>
    <row r="106" spans="1:4" s="264" customFormat="1" ht="12.75">
      <c r="A106" s="280">
        <v>87</v>
      </c>
      <c r="B106" s="476" t="s">
        <v>254</v>
      </c>
      <c r="C106" s="280" t="s">
        <v>3</v>
      </c>
      <c r="D106" s="280">
        <v>1</v>
      </c>
    </row>
    <row r="107" spans="1:4" s="264" customFormat="1" ht="25.5">
      <c r="A107" s="280">
        <v>88</v>
      </c>
      <c r="B107" s="477" t="s">
        <v>328</v>
      </c>
      <c r="C107" s="280" t="s">
        <v>3</v>
      </c>
      <c r="D107" s="280">
        <v>1</v>
      </c>
    </row>
    <row r="108" spans="1:4" s="264" customFormat="1" ht="12.75">
      <c r="A108" s="280"/>
      <c r="B108" s="482" t="s">
        <v>335</v>
      </c>
      <c r="C108" s="280"/>
      <c r="D108" s="280"/>
    </row>
    <row r="109" spans="1:4" s="264" customFormat="1" ht="216.75">
      <c r="A109" s="280">
        <v>89</v>
      </c>
      <c r="B109" s="477" t="s">
        <v>861</v>
      </c>
      <c r="C109" s="280" t="s">
        <v>3</v>
      </c>
      <c r="D109" s="280">
        <v>1</v>
      </c>
    </row>
    <row r="110" spans="1:4" s="264" customFormat="1" ht="12.75">
      <c r="A110" s="280">
        <v>90</v>
      </c>
      <c r="B110" s="476" t="s">
        <v>336</v>
      </c>
      <c r="C110" s="280" t="s">
        <v>15</v>
      </c>
      <c r="D110" s="267">
        <v>2</v>
      </c>
    </row>
    <row r="111" spans="1:4" s="264" customFormat="1" ht="12.75">
      <c r="A111" s="280">
        <v>91</v>
      </c>
      <c r="B111" s="476" t="s">
        <v>337</v>
      </c>
      <c r="C111" s="280" t="s">
        <v>15</v>
      </c>
      <c r="D111" s="267">
        <v>9</v>
      </c>
    </row>
    <row r="112" spans="1:4" s="264" customFormat="1" ht="12.75">
      <c r="A112" s="280">
        <v>92</v>
      </c>
      <c r="B112" s="476" t="s">
        <v>312</v>
      </c>
      <c r="C112" s="280" t="s">
        <v>15</v>
      </c>
      <c r="D112" s="267">
        <v>3</v>
      </c>
    </row>
    <row r="113" spans="1:4" s="264" customFormat="1" ht="12.75">
      <c r="A113" s="280">
        <v>93</v>
      </c>
      <c r="B113" s="476" t="s">
        <v>315</v>
      </c>
      <c r="C113" s="280" t="s">
        <v>15</v>
      </c>
      <c r="D113" s="267">
        <v>1</v>
      </c>
    </row>
    <row r="114" spans="1:4" s="264" customFormat="1" ht="12.75">
      <c r="A114" s="280">
        <v>94</v>
      </c>
      <c r="B114" s="476" t="s">
        <v>338</v>
      </c>
      <c r="C114" s="280" t="s">
        <v>15</v>
      </c>
      <c r="D114" s="267">
        <v>9</v>
      </c>
    </row>
    <row r="115" spans="1:4" s="264" customFormat="1" ht="12.75">
      <c r="A115" s="280">
        <v>95</v>
      </c>
      <c r="B115" s="476" t="s">
        <v>316</v>
      </c>
      <c r="C115" s="280" t="s">
        <v>15</v>
      </c>
      <c r="D115" s="267">
        <v>3</v>
      </c>
    </row>
    <row r="116" spans="1:4" s="264" customFormat="1" ht="12.75">
      <c r="A116" s="280">
        <v>96</v>
      </c>
      <c r="B116" s="476" t="s">
        <v>317</v>
      </c>
      <c r="C116" s="280" t="s">
        <v>15</v>
      </c>
      <c r="D116" s="267">
        <v>7</v>
      </c>
    </row>
    <row r="117" spans="1:4" s="264" customFormat="1" ht="12.75">
      <c r="A117" s="280">
        <v>97</v>
      </c>
      <c r="B117" s="476" t="s">
        <v>339</v>
      </c>
      <c r="C117" s="280" t="s">
        <v>15</v>
      </c>
      <c r="D117" s="270">
        <v>1</v>
      </c>
    </row>
    <row r="118" spans="1:4" s="264" customFormat="1" ht="12.75">
      <c r="A118" s="280">
        <v>98</v>
      </c>
      <c r="B118" s="476" t="s">
        <v>319</v>
      </c>
      <c r="C118" s="280" t="s">
        <v>15</v>
      </c>
      <c r="D118" s="270">
        <v>1</v>
      </c>
    </row>
    <row r="119" spans="1:4" s="264" customFormat="1" ht="12.75">
      <c r="A119" s="280">
        <v>99</v>
      </c>
      <c r="B119" s="476" t="s">
        <v>340</v>
      </c>
      <c r="C119" s="280" t="s">
        <v>15</v>
      </c>
      <c r="D119" s="270">
        <v>1</v>
      </c>
    </row>
    <row r="120" spans="1:4" s="264" customFormat="1" ht="12.75">
      <c r="A120" s="280">
        <v>100</v>
      </c>
      <c r="B120" s="476" t="s">
        <v>249</v>
      </c>
      <c r="C120" s="280" t="s">
        <v>15</v>
      </c>
      <c r="D120" s="270">
        <v>6</v>
      </c>
    </row>
    <row r="121" spans="1:4" s="264" customFormat="1" ht="12.75">
      <c r="A121" s="280">
        <v>101</v>
      </c>
      <c r="B121" s="476" t="s">
        <v>341</v>
      </c>
      <c r="C121" s="280" t="s">
        <v>15</v>
      </c>
      <c r="D121" s="270">
        <v>1</v>
      </c>
    </row>
    <row r="122" spans="1:4" s="264" customFormat="1" ht="12.75">
      <c r="A122" s="280">
        <v>102</v>
      </c>
      <c r="B122" s="476" t="s">
        <v>342</v>
      </c>
      <c r="C122" s="280" t="s">
        <v>15</v>
      </c>
      <c r="D122" s="479">
        <v>1</v>
      </c>
    </row>
    <row r="123" spans="1:4" s="264" customFormat="1" ht="12.75">
      <c r="A123" s="280">
        <v>103</v>
      </c>
      <c r="B123" s="476" t="s">
        <v>252</v>
      </c>
      <c r="C123" s="280" t="s">
        <v>3</v>
      </c>
      <c r="D123" s="280">
        <v>1</v>
      </c>
    </row>
    <row r="124" spans="1:4" s="264" customFormat="1" ht="12.75">
      <c r="A124" s="280">
        <v>104</v>
      </c>
      <c r="B124" s="476" t="s">
        <v>253</v>
      </c>
      <c r="C124" s="280" t="s">
        <v>3</v>
      </c>
      <c r="D124" s="280">
        <v>1</v>
      </c>
    </row>
    <row r="125" spans="1:4" s="264" customFormat="1" ht="12.75">
      <c r="A125" s="280">
        <v>105</v>
      </c>
      <c r="B125" s="476" t="s">
        <v>254</v>
      </c>
      <c r="C125" s="280" t="s">
        <v>3</v>
      </c>
      <c r="D125" s="280">
        <v>1</v>
      </c>
    </row>
    <row r="126" spans="1:4" s="264" customFormat="1" ht="25.5">
      <c r="A126" s="280">
        <v>106</v>
      </c>
      <c r="B126" s="477" t="s">
        <v>255</v>
      </c>
      <c r="C126" s="280" t="s">
        <v>3</v>
      </c>
      <c r="D126" s="280">
        <v>1</v>
      </c>
    </row>
    <row r="127" spans="1:4" s="264" customFormat="1" ht="12.75">
      <c r="A127" s="280"/>
      <c r="B127" s="482" t="s">
        <v>343</v>
      </c>
      <c r="C127" s="280"/>
      <c r="D127" s="280"/>
    </row>
    <row r="128" spans="1:4" s="264" customFormat="1" ht="221.25" customHeight="1">
      <c r="A128" s="280">
        <v>107</v>
      </c>
      <c r="B128" s="477" t="s">
        <v>860</v>
      </c>
      <c r="C128" s="280" t="s">
        <v>3</v>
      </c>
      <c r="D128" s="280">
        <v>1</v>
      </c>
    </row>
    <row r="129" spans="1:4" s="264" customFormat="1" ht="25.5">
      <c r="A129" s="280">
        <v>108</v>
      </c>
      <c r="B129" s="477" t="s">
        <v>1553</v>
      </c>
      <c r="C129" s="280" t="s">
        <v>15</v>
      </c>
      <c r="D129" s="481">
        <v>1</v>
      </c>
    </row>
    <row r="130" spans="1:4" s="264" customFormat="1" ht="25.5">
      <c r="A130" s="280">
        <v>109</v>
      </c>
      <c r="B130" s="477" t="s">
        <v>1554</v>
      </c>
      <c r="C130" s="280" t="s">
        <v>15</v>
      </c>
      <c r="D130" s="481">
        <v>10</v>
      </c>
    </row>
    <row r="131" spans="1:4" s="264" customFormat="1" ht="25.5">
      <c r="A131" s="280">
        <v>110</v>
      </c>
      <c r="B131" s="477" t="s">
        <v>1555</v>
      </c>
      <c r="C131" s="280" t="s">
        <v>15</v>
      </c>
      <c r="D131" s="481">
        <v>1</v>
      </c>
    </row>
    <row r="132" spans="1:4" s="264" customFormat="1" ht="25.5">
      <c r="A132" s="280">
        <v>111</v>
      </c>
      <c r="B132" s="477" t="s">
        <v>1556</v>
      </c>
      <c r="C132" s="280" t="s">
        <v>15</v>
      </c>
      <c r="D132" s="481">
        <v>10</v>
      </c>
    </row>
    <row r="133" spans="1:4" s="264" customFormat="1" ht="12.75">
      <c r="A133" s="280">
        <v>112</v>
      </c>
      <c r="B133" s="476" t="s">
        <v>317</v>
      </c>
      <c r="C133" s="280" t="s">
        <v>15</v>
      </c>
      <c r="D133" s="267">
        <v>2</v>
      </c>
    </row>
    <row r="134" spans="1:4" s="264" customFormat="1" ht="12.75">
      <c r="A134" s="280">
        <v>113</v>
      </c>
      <c r="B134" s="476" t="s">
        <v>319</v>
      </c>
      <c r="C134" s="280" t="s">
        <v>15</v>
      </c>
      <c r="D134" s="270">
        <v>1</v>
      </c>
    </row>
    <row r="135" spans="1:4" s="264" customFormat="1" ht="12.75">
      <c r="A135" s="280">
        <v>114</v>
      </c>
      <c r="B135" s="476" t="s">
        <v>319</v>
      </c>
      <c r="C135" s="280" t="s">
        <v>15</v>
      </c>
      <c r="D135" s="270">
        <v>1</v>
      </c>
    </row>
    <row r="136" spans="1:4" s="264" customFormat="1" ht="12.75">
      <c r="A136" s="280">
        <v>115</v>
      </c>
      <c r="B136" s="476" t="s">
        <v>249</v>
      </c>
      <c r="C136" s="280" t="s">
        <v>15</v>
      </c>
      <c r="D136" s="270">
        <v>6</v>
      </c>
    </row>
    <row r="137" spans="1:4" s="264" customFormat="1" ht="12.75">
      <c r="A137" s="280">
        <v>116</v>
      </c>
      <c r="B137" s="476" t="s">
        <v>344</v>
      </c>
      <c r="C137" s="280" t="s">
        <v>15</v>
      </c>
      <c r="D137" s="270">
        <v>1</v>
      </c>
    </row>
    <row r="138" spans="1:4" s="264" customFormat="1" ht="12.75">
      <c r="A138" s="280">
        <v>117</v>
      </c>
      <c r="B138" s="476" t="s">
        <v>342</v>
      </c>
      <c r="C138" s="280" t="s">
        <v>15</v>
      </c>
      <c r="D138" s="479">
        <v>1</v>
      </c>
    </row>
    <row r="139" spans="1:4" s="264" customFormat="1" ht="12.75">
      <c r="A139" s="280">
        <v>118</v>
      </c>
      <c r="B139" s="476" t="s">
        <v>252</v>
      </c>
      <c r="C139" s="280" t="s">
        <v>3</v>
      </c>
      <c r="D139" s="280">
        <v>1</v>
      </c>
    </row>
    <row r="140" spans="1:4" s="264" customFormat="1" ht="12.75">
      <c r="A140" s="280">
        <v>119</v>
      </c>
      <c r="B140" s="476" t="s">
        <v>253</v>
      </c>
      <c r="C140" s="280" t="s">
        <v>3</v>
      </c>
      <c r="D140" s="280">
        <v>1</v>
      </c>
    </row>
    <row r="141" spans="1:4" s="264" customFormat="1" ht="12.75">
      <c r="A141" s="280">
        <v>120</v>
      </c>
      <c r="B141" s="476" t="s">
        <v>254</v>
      </c>
      <c r="C141" s="280" t="s">
        <v>3</v>
      </c>
      <c r="D141" s="280">
        <v>1</v>
      </c>
    </row>
    <row r="142" spans="1:4" s="264" customFormat="1" ht="25.5">
      <c r="A142" s="280">
        <v>121</v>
      </c>
      <c r="B142" s="477" t="s">
        <v>345</v>
      </c>
      <c r="C142" s="280" t="s">
        <v>3</v>
      </c>
      <c r="D142" s="280">
        <v>1</v>
      </c>
    </row>
    <row r="143" spans="1:4" s="264" customFormat="1" ht="12.75">
      <c r="A143" s="280"/>
      <c r="B143" s="482" t="s">
        <v>346</v>
      </c>
      <c r="C143" s="280"/>
      <c r="D143" s="280"/>
    </row>
    <row r="144" spans="1:4" s="264" customFormat="1" ht="216.75">
      <c r="A144" s="280">
        <v>122</v>
      </c>
      <c r="B144" s="477" t="s">
        <v>859</v>
      </c>
      <c r="C144" s="280" t="s">
        <v>3</v>
      </c>
      <c r="D144" s="280">
        <v>1</v>
      </c>
    </row>
    <row r="145" spans="1:4" s="264" customFormat="1" ht="25.5">
      <c r="A145" s="280">
        <v>123</v>
      </c>
      <c r="B145" s="477" t="s">
        <v>1553</v>
      </c>
      <c r="C145" s="280" t="s">
        <v>15</v>
      </c>
      <c r="D145" s="481">
        <v>3</v>
      </c>
    </row>
    <row r="146" spans="1:4" s="264" customFormat="1" ht="25.5">
      <c r="A146" s="280">
        <v>124</v>
      </c>
      <c r="B146" s="477" t="s">
        <v>1554</v>
      </c>
      <c r="C146" s="280" t="s">
        <v>15</v>
      </c>
      <c r="D146" s="481">
        <v>6</v>
      </c>
    </row>
    <row r="147" spans="1:4" s="264" customFormat="1" ht="25.5">
      <c r="A147" s="280">
        <v>125</v>
      </c>
      <c r="B147" s="477" t="s">
        <v>1555</v>
      </c>
      <c r="C147" s="280" t="s">
        <v>15</v>
      </c>
      <c r="D147" s="481">
        <v>3</v>
      </c>
    </row>
    <row r="148" spans="1:4" s="264" customFormat="1" ht="25.5">
      <c r="A148" s="280">
        <v>126</v>
      </c>
      <c r="B148" s="477" t="s">
        <v>1556</v>
      </c>
      <c r="C148" s="280" t="s">
        <v>15</v>
      </c>
      <c r="D148" s="481">
        <v>6</v>
      </c>
    </row>
    <row r="149" spans="1:4" s="264" customFormat="1" ht="12.75">
      <c r="A149" s="280">
        <v>127</v>
      </c>
      <c r="B149" s="476" t="s">
        <v>317</v>
      </c>
      <c r="C149" s="280" t="s">
        <v>15</v>
      </c>
      <c r="D149" s="267">
        <v>2</v>
      </c>
    </row>
    <row r="150" spans="1:4" s="264" customFormat="1" ht="12.75">
      <c r="A150" s="280">
        <v>128</v>
      </c>
      <c r="B150" s="476" t="s">
        <v>340</v>
      </c>
      <c r="C150" s="280" t="s">
        <v>15</v>
      </c>
      <c r="D150" s="270">
        <v>1</v>
      </c>
    </row>
    <row r="151" spans="1:4" s="264" customFormat="1" ht="12.75">
      <c r="A151" s="280">
        <v>129</v>
      </c>
      <c r="B151" s="476" t="s">
        <v>340</v>
      </c>
      <c r="C151" s="280" t="s">
        <v>15</v>
      </c>
      <c r="D151" s="270">
        <v>1</v>
      </c>
    </row>
    <row r="152" spans="1:4" s="264" customFormat="1" ht="12.75">
      <c r="A152" s="280">
        <v>130</v>
      </c>
      <c r="B152" s="476" t="s">
        <v>249</v>
      </c>
      <c r="C152" s="280" t="s">
        <v>15</v>
      </c>
      <c r="D152" s="270">
        <v>6</v>
      </c>
    </row>
    <row r="153" spans="1:4" s="264" customFormat="1" ht="12.75">
      <c r="A153" s="280">
        <v>131</v>
      </c>
      <c r="B153" s="476" t="s">
        <v>341</v>
      </c>
      <c r="C153" s="280" t="s">
        <v>15</v>
      </c>
      <c r="D153" s="270">
        <v>1</v>
      </c>
    </row>
    <row r="154" spans="1:4" s="264" customFormat="1" ht="12.75">
      <c r="A154" s="280">
        <v>132</v>
      </c>
      <c r="B154" s="476" t="s">
        <v>342</v>
      </c>
      <c r="C154" s="280" t="s">
        <v>15</v>
      </c>
      <c r="D154" s="479">
        <v>1</v>
      </c>
    </row>
    <row r="155" spans="1:4" s="264" customFormat="1" ht="12.75">
      <c r="A155" s="280">
        <v>133</v>
      </c>
      <c r="B155" s="476" t="s">
        <v>252</v>
      </c>
      <c r="C155" s="280" t="s">
        <v>3</v>
      </c>
      <c r="D155" s="280">
        <v>1</v>
      </c>
    </row>
    <row r="156" spans="1:4" s="264" customFormat="1" ht="12.75">
      <c r="A156" s="280">
        <v>134</v>
      </c>
      <c r="B156" s="476" t="s">
        <v>253</v>
      </c>
      <c r="C156" s="280" t="s">
        <v>3</v>
      </c>
      <c r="D156" s="280">
        <v>1</v>
      </c>
    </row>
    <row r="157" spans="1:4" s="264" customFormat="1" ht="12.75">
      <c r="A157" s="280">
        <v>135</v>
      </c>
      <c r="B157" s="476" t="s">
        <v>254</v>
      </c>
      <c r="C157" s="280" t="s">
        <v>3</v>
      </c>
      <c r="D157" s="280">
        <v>1</v>
      </c>
    </row>
    <row r="158" spans="1:4" s="264" customFormat="1" ht="25.5">
      <c r="A158" s="280">
        <v>136</v>
      </c>
      <c r="B158" s="477" t="s">
        <v>255</v>
      </c>
      <c r="C158" s="280" t="s">
        <v>3</v>
      </c>
      <c r="D158" s="280">
        <v>1</v>
      </c>
    </row>
    <row r="159" spans="1:4" s="387" customFormat="1" ht="12.75">
      <c r="A159" s="409"/>
      <c r="B159" s="483" t="s">
        <v>347</v>
      </c>
      <c r="C159" s="484"/>
      <c r="D159" s="485"/>
    </row>
    <row r="160" spans="1:4" s="264" customFormat="1" ht="216.75">
      <c r="A160" s="280">
        <v>137</v>
      </c>
      <c r="B160" s="486" t="s">
        <v>858</v>
      </c>
      <c r="C160" s="280" t="s">
        <v>3</v>
      </c>
      <c r="D160" s="280">
        <v>1</v>
      </c>
    </row>
    <row r="161" spans="1:4" s="264" customFormat="1" ht="12.75">
      <c r="A161" s="280">
        <v>138</v>
      </c>
      <c r="B161" s="476" t="s">
        <v>312</v>
      </c>
      <c r="C161" s="280" t="s">
        <v>15</v>
      </c>
      <c r="D161" s="481">
        <v>6</v>
      </c>
    </row>
    <row r="162" spans="1:4" s="264" customFormat="1" ht="12.75">
      <c r="A162" s="280">
        <v>139</v>
      </c>
      <c r="B162" s="476" t="s">
        <v>348</v>
      </c>
      <c r="C162" s="280" t="s">
        <v>15</v>
      </c>
      <c r="D162" s="481">
        <v>6</v>
      </c>
    </row>
    <row r="163" spans="1:4" s="264" customFormat="1" ht="12.75">
      <c r="A163" s="280">
        <v>140</v>
      </c>
      <c r="B163" s="476" t="s">
        <v>317</v>
      </c>
      <c r="C163" s="280" t="s">
        <v>15</v>
      </c>
      <c r="D163" s="267">
        <v>4</v>
      </c>
    </row>
    <row r="164" spans="1:4" s="264" customFormat="1" ht="12.75">
      <c r="A164" s="280">
        <v>141</v>
      </c>
      <c r="B164" s="476" t="s">
        <v>349</v>
      </c>
      <c r="C164" s="280" t="s">
        <v>15</v>
      </c>
      <c r="D164" s="270">
        <v>1</v>
      </c>
    </row>
    <row r="165" spans="1:4" s="264" customFormat="1" ht="12.75">
      <c r="A165" s="280">
        <v>142</v>
      </c>
      <c r="B165" s="476" t="s">
        <v>350</v>
      </c>
      <c r="C165" s="280" t="s">
        <v>15</v>
      </c>
      <c r="D165" s="270">
        <v>1</v>
      </c>
    </row>
    <row r="166" spans="1:4" s="264" customFormat="1" ht="12.75">
      <c r="A166" s="280">
        <v>143</v>
      </c>
      <c r="B166" s="476" t="s">
        <v>249</v>
      </c>
      <c r="C166" s="280" t="s">
        <v>15</v>
      </c>
      <c r="D166" s="270">
        <v>4</v>
      </c>
    </row>
    <row r="167" spans="1:4" s="264" customFormat="1" ht="12.75">
      <c r="A167" s="280">
        <v>144</v>
      </c>
      <c r="B167" s="476" t="s">
        <v>351</v>
      </c>
      <c r="C167" s="280" t="s">
        <v>15</v>
      </c>
      <c r="D167" s="270">
        <v>1</v>
      </c>
    </row>
    <row r="168" spans="1:4" s="264" customFormat="1" ht="12.75">
      <c r="A168" s="280">
        <v>145</v>
      </c>
      <c r="B168" s="476" t="s">
        <v>352</v>
      </c>
      <c r="C168" s="280" t="s">
        <v>15</v>
      </c>
      <c r="D168" s="479">
        <v>1</v>
      </c>
    </row>
    <row r="169" spans="1:4" s="264" customFormat="1" ht="12.75">
      <c r="A169" s="280">
        <v>146</v>
      </c>
      <c r="B169" s="476" t="s">
        <v>252</v>
      </c>
      <c r="C169" s="280" t="s">
        <v>3</v>
      </c>
      <c r="D169" s="280">
        <v>1</v>
      </c>
    </row>
    <row r="170" spans="1:4" s="264" customFormat="1" ht="12.75">
      <c r="A170" s="280">
        <v>147</v>
      </c>
      <c r="B170" s="476" t="s">
        <v>253</v>
      </c>
      <c r="C170" s="280" t="s">
        <v>3</v>
      </c>
      <c r="D170" s="280">
        <v>1</v>
      </c>
    </row>
    <row r="171" spans="1:4" s="264" customFormat="1" ht="12.75">
      <c r="A171" s="280">
        <v>148</v>
      </c>
      <c r="B171" s="476" t="s">
        <v>254</v>
      </c>
      <c r="C171" s="280" t="s">
        <v>3</v>
      </c>
      <c r="D171" s="280">
        <v>1</v>
      </c>
    </row>
    <row r="172" spans="1:4" s="264" customFormat="1" ht="25.5">
      <c r="A172" s="280">
        <v>149</v>
      </c>
      <c r="B172" s="477" t="s">
        <v>255</v>
      </c>
      <c r="C172" s="280" t="s">
        <v>3</v>
      </c>
      <c r="D172" s="280">
        <v>1</v>
      </c>
    </row>
    <row r="173" spans="1:4" s="387" customFormat="1" ht="12.75">
      <c r="A173" s="409"/>
      <c r="B173" s="483" t="s">
        <v>353</v>
      </c>
      <c r="C173" s="484"/>
      <c r="D173" s="485"/>
    </row>
    <row r="174" spans="1:4" s="264" customFormat="1" ht="216.75">
      <c r="A174" s="280">
        <v>150</v>
      </c>
      <c r="B174" s="486" t="s">
        <v>862</v>
      </c>
      <c r="C174" s="280" t="s">
        <v>3</v>
      </c>
      <c r="D174" s="280">
        <v>1</v>
      </c>
    </row>
    <row r="175" spans="1:4" s="264" customFormat="1" ht="12.75">
      <c r="A175" s="280">
        <v>151</v>
      </c>
      <c r="B175" s="476" t="s">
        <v>312</v>
      </c>
      <c r="C175" s="280" t="s">
        <v>15</v>
      </c>
      <c r="D175" s="481">
        <v>2</v>
      </c>
    </row>
    <row r="176" spans="1:4" s="264" customFormat="1" ht="12.75">
      <c r="A176" s="280">
        <v>152</v>
      </c>
      <c r="B176" s="476" t="s">
        <v>312</v>
      </c>
      <c r="C176" s="280" t="s">
        <v>15</v>
      </c>
      <c r="D176" s="481">
        <v>7</v>
      </c>
    </row>
    <row r="177" spans="1:4" s="264" customFormat="1" ht="12.75">
      <c r="A177" s="280">
        <v>153</v>
      </c>
      <c r="B177" s="476" t="s">
        <v>315</v>
      </c>
      <c r="C177" s="280" t="s">
        <v>15</v>
      </c>
      <c r="D177" s="481">
        <v>1</v>
      </c>
    </row>
    <row r="178" spans="1:4" s="264" customFormat="1" ht="12.75">
      <c r="A178" s="280">
        <v>154</v>
      </c>
      <c r="B178" s="476" t="s">
        <v>338</v>
      </c>
      <c r="C178" s="280" t="s">
        <v>15</v>
      </c>
      <c r="D178" s="481">
        <v>2</v>
      </c>
    </row>
    <row r="179" spans="1:4" s="264" customFormat="1" ht="12.75">
      <c r="A179" s="280">
        <v>155</v>
      </c>
      <c r="B179" s="476" t="s">
        <v>348</v>
      </c>
      <c r="C179" s="280" t="s">
        <v>15</v>
      </c>
      <c r="D179" s="481">
        <v>7</v>
      </c>
    </row>
    <row r="180" spans="1:4" s="264" customFormat="1" ht="12.75">
      <c r="A180" s="280">
        <v>156</v>
      </c>
      <c r="B180" s="478" t="s">
        <v>354</v>
      </c>
      <c r="C180" s="280" t="s">
        <v>15</v>
      </c>
      <c r="D180" s="267">
        <v>4</v>
      </c>
    </row>
    <row r="181" spans="1:4" s="264" customFormat="1" ht="12.75">
      <c r="A181" s="280">
        <v>157</v>
      </c>
      <c r="B181" s="478" t="s">
        <v>355</v>
      </c>
      <c r="C181" s="280" t="s">
        <v>15</v>
      </c>
      <c r="D181" s="267">
        <v>4</v>
      </c>
    </row>
    <row r="182" spans="1:4" s="264" customFormat="1" ht="12.75">
      <c r="A182" s="280">
        <v>158</v>
      </c>
      <c r="B182" s="476" t="s">
        <v>356</v>
      </c>
      <c r="C182" s="280" t="s">
        <v>15</v>
      </c>
      <c r="D182" s="270">
        <v>2</v>
      </c>
    </row>
    <row r="183" spans="1:4" s="264" customFormat="1" ht="12.75">
      <c r="A183" s="280">
        <v>159</v>
      </c>
      <c r="B183" s="476" t="s">
        <v>357</v>
      </c>
      <c r="C183" s="280" t="s">
        <v>15</v>
      </c>
      <c r="D183" s="270">
        <v>1</v>
      </c>
    </row>
    <row r="184" spans="1:4" s="264" customFormat="1" ht="12.75">
      <c r="A184" s="280">
        <v>160</v>
      </c>
      <c r="B184" s="476" t="s">
        <v>358</v>
      </c>
      <c r="C184" s="280" t="s">
        <v>15</v>
      </c>
      <c r="D184" s="270">
        <v>1</v>
      </c>
    </row>
    <row r="185" spans="1:4" s="264" customFormat="1" ht="12.75">
      <c r="A185" s="280">
        <v>161</v>
      </c>
      <c r="B185" s="476" t="s">
        <v>359</v>
      </c>
      <c r="C185" s="280" t="s">
        <v>15</v>
      </c>
      <c r="D185" s="270">
        <v>1</v>
      </c>
    </row>
    <row r="186" spans="1:4" s="264" customFormat="1" ht="12.75">
      <c r="A186" s="280">
        <v>162</v>
      </c>
      <c r="B186" s="476" t="s">
        <v>360</v>
      </c>
      <c r="C186" s="280" t="s">
        <v>15</v>
      </c>
      <c r="D186" s="270">
        <v>2</v>
      </c>
    </row>
    <row r="187" spans="1:4" s="264" customFormat="1" ht="12.75">
      <c r="A187" s="280">
        <v>163</v>
      </c>
      <c r="B187" s="476" t="s">
        <v>361</v>
      </c>
      <c r="C187" s="280" t="s">
        <v>15</v>
      </c>
      <c r="D187" s="270">
        <v>1</v>
      </c>
    </row>
    <row r="188" spans="1:4" s="264" customFormat="1" ht="25.5">
      <c r="A188" s="280">
        <v>164</v>
      </c>
      <c r="B188" s="477" t="s">
        <v>362</v>
      </c>
      <c r="C188" s="280" t="s">
        <v>15</v>
      </c>
      <c r="D188" s="270">
        <v>1</v>
      </c>
    </row>
    <row r="189" spans="1:4" s="264" customFormat="1" ht="12.75">
      <c r="A189" s="280">
        <v>165</v>
      </c>
      <c r="B189" s="476" t="s">
        <v>252</v>
      </c>
      <c r="C189" s="280" t="s">
        <v>3</v>
      </c>
      <c r="D189" s="280">
        <v>1</v>
      </c>
    </row>
    <row r="190" spans="1:4" s="264" customFormat="1" ht="12.75">
      <c r="A190" s="280">
        <v>166</v>
      </c>
      <c r="B190" s="476" t="s">
        <v>253</v>
      </c>
      <c r="C190" s="280" t="s">
        <v>3</v>
      </c>
      <c r="D190" s="280">
        <v>1</v>
      </c>
    </row>
    <row r="191" spans="1:4" s="264" customFormat="1" ht="12.75">
      <c r="A191" s="280">
        <v>167</v>
      </c>
      <c r="B191" s="476" t="s">
        <v>254</v>
      </c>
      <c r="C191" s="280" t="s">
        <v>3</v>
      </c>
      <c r="D191" s="280">
        <v>1</v>
      </c>
    </row>
    <row r="192" spans="1:4" s="264" customFormat="1" ht="25.5">
      <c r="A192" s="280">
        <v>168</v>
      </c>
      <c r="B192" s="477" t="s">
        <v>363</v>
      </c>
      <c r="C192" s="280" t="s">
        <v>3</v>
      </c>
      <c r="D192" s="280">
        <v>1</v>
      </c>
    </row>
    <row r="193" spans="1:4" s="387" customFormat="1" ht="12.75">
      <c r="A193" s="409"/>
      <c r="B193" s="483" t="s">
        <v>364</v>
      </c>
      <c r="C193" s="484"/>
      <c r="D193" s="485"/>
    </row>
    <row r="194" spans="1:4" s="264" customFormat="1" ht="204">
      <c r="A194" s="280">
        <v>169</v>
      </c>
      <c r="B194" s="486" t="s">
        <v>863</v>
      </c>
      <c r="C194" s="280" t="s">
        <v>3</v>
      </c>
      <c r="D194" s="280">
        <v>1</v>
      </c>
    </row>
    <row r="195" spans="1:4" s="264" customFormat="1" ht="12.75">
      <c r="A195" s="280">
        <v>170</v>
      </c>
      <c r="B195" s="476" t="s">
        <v>365</v>
      </c>
      <c r="C195" s="280" t="s">
        <v>15</v>
      </c>
      <c r="D195" s="481">
        <v>5</v>
      </c>
    </row>
    <row r="196" spans="1:4" s="264" customFormat="1" ht="12.75">
      <c r="A196" s="280">
        <v>171</v>
      </c>
      <c r="B196" s="476" t="s">
        <v>366</v>
      </c>
      <c r="C196" s="280" t="s">
        <v>15</v>
      </c>
      <c r="D196" s="481">
        <v>5</v>
      </c>
    </row>
    <row r="197" spans="1:4" s="264" customFormat="1" ht="12.75">
      <c r="A197" s="280">
        <v>172</v>
      </c>
      <c r="B197" s="476" t="s">
        <v>367</v>
      </c>
      <c r="C197" s="280" t="s">
        <v>15</v>
      </c>
      <c r="D197" s="267">
        <v>1</v>
      </c>
    </row>
    <row r="198" spans="1:4" s="264" customFormat="1" ht="12.75">
      <c r="A198" s="280">
        <v>173</v>
      </c>
      <c r="B198" s="476" t="s">
        <v>317</v>
      </c>
      <c r="C198" s="280" t="s">
        <v>15</v>
      </c>
      <c r="D198" s="267">
        <v>1</v>
      </c>
    </row>
    <row r="199" spans="1:4" s="264" customFormat="1" ht="12.75">
      <c r="A199" s="280">
        <v>174</v>
      </c>
      <c r="B199" s="476" t="s">
        <v>368</v>
      </c>
      <c r="C199" s="280" t="s">
        <v>15</v>
      </c>
      <c r="D199" s="270">
        <v>2</v>
      </c>
    </row>
    <row r="200" spans="1:4" s="264" customFormat="1" ht="25.5">
      <c r="A200" s="280">
        <v>175</v>
      </c>
      <c r="B200" s="477" t="s">
        <v>369</v>
      </c>
      <c r="C200" s="280" t="s">
        <v>15</v>
      </c>
      <c r="D200" s="270">
        <v>1</v>
      </c>
    </row>
    <row r="201" spans="1:4" s="264" customFormat="1" ht="12.75">
      <c r="A201" s="280">
        <v>176</v>
      </c>
      <c r="B201" s="476" t="s">
        <v>252</v>
      </c>
      <c r="C201" s="280" t="s">
        <v>3</v>
      </c>
      <c r="D201" s="280">
        <v>1</v>
      </c>
    </row>
    <row r="202" spans="1:4" s="264" customFormat="1" ht="12.75">
      <c r="A202" s="280">
        <v>177</v>
      </c>
      <c r="B202" s="476" t="s">
        <v>253</v>
      </c>
      <c r="C202" s="280" t="s">
        <v>3</v>
      </c>
      <c r="D202" s="280">
        <v>1</v>
      </c>
    </row>
    <row r="203" spans="1:4" s="264" customFormat="1" ht="12.75">
      <c r="A203" s="280">
        <v>178</v>
      </c>
      <c r="B203" s="476" t="s">
        <v>254</v>
      </c>
      <c r="C203" s="280" t="s">
        <v>3</v>
      </c>
      <c r="D203" s="280">
        <v>1</v>
      </c>
    </row>
    <row r="204" spans="1:4" s="264" customFormat="1" ht="25.5">
      <c r="A204" s="280">
        <v>179</v>
      </c>
      <c r="B204" s="477" t="s">
        <v>255</v>
      </c>
      <c r="C204" s="280" t="s">
        <v>3</v>
      </c>
      <c r="D204" s="280">
        <v>1</v>
      </c>
    </row>
    <row r="205" spans="1:4" s="387" customFormat="1" ht="12.75">
      <c r="A205" s="409"/>
      <c r="B205" s="483" t="s">
        <v>370</v>
      </c>
      <c r="C205" s="484"/>
      <c r="D205" s="485"/>
    </row>
    <row r="206" spans="1:4" s="264" customFormat="1" ht="63.75">
      <c r="A206" s="280">
        <v>180</v>
      </c>
      <c r="B206" s="486" t="s">
        <v>661</v>
      </c>
      <c r="C206" s="280" t="s">
        <v>3</v>
      </c>
      <c r="D206" s="280">
        <v>1</v>
      </c>
    </row>
    <row r="207" spans="1:4" s="264" customFormat="1" ht="12.75">
      <c r="A207" s="280">
        <v>181</v>
      </c>
      <c r="B207" s="476" t="s">
        <v>371</v>
      </c>
      <c r="C207" s="280" t="s">
        <v>15</v>
      </c>
      <c r="D207" s="270">
        <v>4</v>
      </c>
    </row>
    <row r="208" spans="1:4" s="264" customFormat="1" ht="12.75">
      <c r="A208" s="280">
        <v>182</v>
      </c>
      <c r="B208" s="476" t="s">
        <v>372</v>
      </c>
      <c r="C208" s="280" t="s">
        <v>15</v>
      </c>
      <c r="D208" s="280">
        <v>1</v>
      </c>
    </row>
    <row r="209" spans="1:4" s="264" customFormat="1" ht="12.75">
      <c r="A209" s="280">
        <v>183</v>
      </c>
      <c r="B209" s="476" t="s">
        <v>373</v>
      </c>
      <c r="C209" s="280" t="s">
        <v>15</v>
      </c>
      <c r="D209" s="479">
        <v>1</v>
      </c>
    </row>
    <row r="210" spans="1:4" s="264" customFormat="1" ht="12.75">
      <c r="A210" s="280">
        <v>184</v>
      </c>
      <c r="B210" s="476" t="s">
        <v>249</v>
      </c>
      <c r="C210" s="280" t="s">
        <v>15</v>
      </c>
      <c r="D210" s="280">
        <v>1</v>
      </c>
    </row>
    <row r="211" spans="1:4" s="264" customFormat="1" ht="12.75">
      <c r="A211" s="280">
        <v>185</v>
      </c>
      <c r="B211" s="476" t="s">
        <v>374</v>
      </c>
      <c r="C211" s="280" t="s">
        <v>15</v>
      </c>
      <c r="D211" s="280">
        <v>1</v>
      </c>
    </row>
    <row r="212" spans="1:4" s="264" customFormat="1" ht="12.75">
      <c r="A212" s="280">
        <v>186</v>
      </c>
      <c r="B212" s="476" t="s">
        <v>252</v>
      </c>
      <c r="C212" s="280" t="s">
        <v>3</v>
      </c>
      <c r="D212" s="280">
        <v>1</v>
      </c>
    </row>
    <row r="213" spans="1:4" s="264" customFormat="1" ht="12.75">
      <c r="A213" s="280">
        <v>187</v>
      </c>
      <c r="B213" s="476" t="s">
        <v>253</v>
      </c>
      <c r="C213" s="280" t="s">
        <v>3</v>
      </c>
      <c r="D213" s="280">
        <v>1</v>
      </c>
    </row>
    <row r="214" spans="1:4" s="387" customFormat="1" ht="12.75">
      <c r="A214" s="409"/>
      <c r="B214" s="483" t="s">
        <v>375</v>
      </c>
      <c r="C214" s="484"/>
      <c r="D214" s="485"/>
    </row>
    <row r="215" spans="1:4" s="387" customFormat="1" ht="63.75">
      <c r="A215" s="280">
        <v>188</v>
      </c>
      <c r="B215" s="486" t="s">
        <v>661</v>
      </c>
      <c r="C215" s="280" t="s">
        <v>3</v>
      </c>
      <c r="D215" s="280">
        <v>1</v>
      </c>
    </row>
    <row r="216" spans="1:4" s="264" customFormat="1" ht="12.75">
      <c r="A216" s="280">
        <v>189</v>
      </c>
      <c r="B216" s="476" t="s">
        <v>371</v>
      </c>
      <c r="C216" s="280" t="s">
        <v>15</v>
      </c>
      <c r="D216" s="270">
        <v>4</v>
      </c>
    </row>
    <row r="217" spans="1:4" s="264" customFormat="1" ht="12.75">
      <c r="A217" s="280">
        <v>190</v>
      </c>
      <c r="B217" s="476" t="s">
        <v>372</v>
      </c>
      <c r="C217" s="280" t="s">
        <v>15</v>
      </c>
      <c r="D217" s="280">
        <v>1</v>
      </c>
    </row>
    <row r="218" spans="1:4" s="264" customFormat="1" ht="12.75">
      <c r="A218" s="280">
        <v>191</v>
      </c>
      <c r="B218" s="476" t="s">
        <v>373</v>
      </c>
      <c r="C218" s="280" t="s">
        <v>15</v>
      </c>
      <c r="D218" s="479">
        <v>1</v>
      </c>
    </row>
    <row r="219" spans="1:4" s="264" customFormat="1" ht="12.75">
      <c r="A219" s="280">
        <v>192</v>
      </c>
      <c r="B219" s="476" t="s">
        <v>249</v>
      </c>
      <c r="C219" s="280" t="s">
        <v>15</v>
      </c>
      <c r="D219" s="280">
        <v>1</v>
      </c>
    </row>
    <row r="220" spans="1:4" s="264" customFormat="1" ht="12.75">
      <c r="A220" s="280">
        <v>193</v>
      </c>
      <c r="B220" s="476" t="s">
        <v>374</v>
      </c>
      <c r="C220" s="280" t="s">
        <v>15</v>
      </c>
      <c r="D220" s="280">
        <v>1</v>
      </c>
    </row>
    <row r="221" spans="1:4" s="264" customFormat="1" ht="12.75">
      <c r="A221" s="280">
        <v>194</v>
      </c>
      <c r="B221" s="476" t="s">
        <v>252</v>
      </c>
      <c r="C221" s="280" t="s">
        <v>3</v>
      </c>
      <c r="D221" s="280">
        <v>1</v>
      </c>
    </row>
    <row r="222" spans="1:4" s="264" customFormat="1" ht="12.75">
      <c r="A222" s="280">
        <v>195</v>
      </c>
      <c r="B222" s="476" t="s">
        <v>253</v>
      </c>
      <c r="C222" s="280" t="s">
        <v>3</v>
      </c>
      <c r="D222" s="280">
        <v>1</v>
      </c>
    </row>
    <row r="223" spans="1:4" s="387" customFormat="1" ht="12.75">
      <c r="A223" s="409"/>
      <c r="B223" s="483" t="s">
        <v>376</v>
      </c>
      <c r="C223" s="484"/>
      <c r="D223" s="485"/>
    </row>
    <row r="224" spans="1:4" s="264" customFormat="1" ht="63.75">
      <c r="A224" s="280">
        <v>196</v>
      </c>
      <c r="B224" s="486" t="s">
        <v>664</v>
      </c>
      <c r="C224" s="280" t="s">
        <v>3</v>
      </c>
      <c r="D224" s="280">
        <v>1</v>
      </c>
    </row>
    <row r="225" spans="1:4" s="264" customFormat="1" ht="12.75">
      <c r="A225" s="280">
        <v>197</v>
      </c>
      <c r="B225" s="476" t="s">
        <v>371</v>
      </c>
      <c r="C225" s="280" t="s">
        <v>15</v>
      </c>
      <c r="D225" s="270">
        <v>4</v>
      </c>
    </row>
    <row r="226" spans="1:4" s="264" customFormat="1" ht="12.75">
      <c r="A226" s="280">
        <v>198</v>
      </c>
      <c r="B226" s="476" t="s">
        <v>372</v>
      </c>
      <c r="C226" s="280" t="s">
        <v>15</v>
      </c>
      <c r="D226" s="280">
        <v>1</v>
      </c>
    </row>
    <row r="227" spans="1:4" s="264" customFormat="1" ht="12.75">
      <c r="A227" s="280">
        <v>199</v>
      </c>
      <c r="B227" s="476" t="s">
        <v>373</v>
      </c>
      <c r="C227" s="280" t="s">
        <v>15</v>
      </c>
      <c r="D227" s="479">
        <v>1</v>
      </c>
    </row>
    <row r="228" spans="1:4" s="264" customFormat="1" ht="12.75">
      <c r="A228" s="280">
        <v>200</v>
      </c>
      <c r="B228" s="476" t="s">
        <v>249</v>
      </c>
      <c r="C228" s="280" t="s">
        <v>15</v>
      </c>
      <c r="D228" s="280">
        <v>1</v>
      </c>
    </row>
    <row r="229" spans="1:4" s="264" customFormat="1" ht="12.75">
      <c r="A229" s="280">
        <v>201</v>
      </c>
      <c r="B229" s="476" t="s">
        <v>374</v>
      </c>
      <c r="C229" s="280" t="s">
        <v>15</v>
      </c>
      <c r="D229" s="280">
        <v>1</v>
      </c>
    </row>
    <row r="230" spans="1:4" s="264" customFormat="1" ht="12.75">
      <c r="A230" s="280">
        <v>202</v>
      </c>
      <c r="B230" s="476" t="s">
        <v>252</v>
      </c>
      <c r="C230" s="280" t="s">
        <v>3</v>
      </c>
      <c r="D230" s="280">
        <v>1</v>
      </c>
    </row>
    <row r="231" spans="1:4" s="264" customFormat="1" ht="12.75">
      <c r="A231" s="280">
        <v>203</v>
      </c>
      <c r="B231" s="476" t="s">
        <v>253</v>
      </c>
      <c r="C231" s="280" t="s">
        <v>3</v>
      </c>
      <c r="D231" s="280">
        <v>1</v>
      </c>
    </row>
    <row r="232" spans="1:4" s="264" customFormat="1" ht="12.75">
      <c r="A232" s="280"/>
      <c r="B232" s="487" t="s">
        <v>377</v>
      </c>
      <c r="C232" s="488"/>
      <c r="D232" s="485"/>
    </row>
    <row r="233" spans="1:4" s="264" customFormat="1" ht="57.75" customHeight="1">
      <c r="A233" s="280">
        <v>204</v>
      </c>
      <c r="B233" s="486" t="s">
        <v>665</v>
      </c>
      <c r="C233" s="280" t="s">
        <v>3</v>
      </c>
      <c r="D233" s="280">
        <v>1</v>
      </c>
    </row>
    <row r="234" spans="1:4" s="264" customFormat="1" ht="25.5">
      <c r="A234" s="280">
        <v>205</v>
      </c>
      <c r="B234" s="477" t="s">
        <v>1680</v>
      </c>
      <c r="C234" s="280" t="s">
        <v>15</v>
      </c>
      <c r="D234" s="481">
        <v>1</v>
      </c>
    </row>
    <row r="235" spans="1:4" s="264" customFormat="1" ht="12.75">
      <c r="A235" s="280">
        <v>206</v>
      </c>
      <c r="B235" s="476" t="s">
        <v>378</v>
      </c>
      <c r="C235" s="280" t="s">
        <v>15</v>
      </c>
      <c r="D235" s="280">
        <v>1</v>
      </c>
    </row>
    <row r="236" spans="1:4" s="264" customFormat="1" ht="12.75">
      <c r="A236" s="280">
        <v>207</v>
      </c>
      <c r="B236" s="476" t="s">
        <v>379</v>
      </c>
      <c r="C236" s="280" t="s">
        <v>15</v>
      </c>
      <c r="D236" s="479">
        <v>1</v>
      </c>
    </row>
    <row r="237" spans="1:4" s="264" customFormat="1" ht="12.75">
      <c r="A237" s="280">
        <v>208</v>
      </c>
      <c r="B237" s="476" t="s">
        <v>249</v>
      </c>
      <c r="C237" s="280" t="s">
        <v>15</v>
      </c>
      <c r="D237" s="280">
        <v>1</v>
      </c>
    </row>
    <row r="238" spans="1:4" s="264" customFormat="1" ht="12.75">
      <c r="A238" s="280">
        <v>209</v>
      </c>
      <c r="B238" s="476" t="s">
        <v>380</v>
      </c>
      <c r="C238" s="280" t="s">
        <v>15</v>
      </c>
      <c r="D238" s="280">
        <v>1</v>
      </c>
    </row>
    <row r="239" spans="1:4" s="264" customFormat="1" ht="12.75">
      <c r="A239" s="280">
        <v>210</v>
      </c>
      <c r="B239" s="476" t="s">
        <v>252</v>
      </c>
      <c r="C239" s="280" t="s">
        <v>3</v>
      </c>
      <c r="D239" s="280">
        <v>1</v>
      </c>
    </row>
    <row r="240" spans="1:4" s="264" customFormat="1" ht="12.75">
      <c r="A240" s="280">
        <v>211</v>
      </c>
      <c r="B240" s="476" t="s">
        <v>253</v>
      </c>
      <c r="C240" s="280" t="s">
        <v>3</v>
      </c>
      <c r="D240" s="280">
        <v>1</v>
      </c>
    </row>
    <row r="241" spans="1:4" s="387" customFormat="1" ht="12.75">
      <c r="A241" s="409"/>
      <c r="B241" s="483" t="s">
        <v>381</v>
      </c>
      <c r="C241" s="484"/>
      <c r="D241" s="485"/>
    </row>
    <row r="242" spans="1:4" s="264" customFormat="1" ht="63.75">
      <c r="A242" s="280">
        <v>212</v>
      </c>
      <c r="B242" s="486" t="s">
        <v>666</v>
      </c>
      <c r="C242" s="280" t="s">
        <v>3</v>
      </c>
      <c r="D242" s="280">
        <v>1</v>
      </c>
    </row>
    <row r="243" spans="1:4" s="264" customFormat="1" ht="12.75">
      <c r="A243" s="280">
        <v>213</v>
      </c>
      <c r="B243" s="476" t="s">
        <v>382</v>
      </c>
      <c r="C243" s="280" t="s">
        <v>15</v>
      </c>
      <c r="D243" s="481">
        <v>3</v>
      </c>
    </row>
    <row r="244" spans="1:4" s="264" customFormat="1" ht="12.75">
      <c r="A244" s="280">
        <v>214</v>
      </c>
      <c r="B244" s="476" t="s">
        <v>383</v>
      </c>
      <c r="C244" s="280" t="s">
        <v>15</v>
      </c>
      <c r="D244" s="280">
        <v>1</v>
      </c>
    </row>
    <row r="245" spans="1:4" s="264" customFormat="1" ht="12.75">
      <c r="A245" s="280">
        <v>215</v>
      </c>
      <c r="B245" s="476" t="s">
        <v>379</v>
      </c>
      <c r="C245" s="280" t="s">
        <v>15</v>
      </c>
      <c r="D245" s="479">
        <v>1</v>
      </c>
    </row>
    <row r="246" spans="1:4" s="264" customFormat="1" ht="12.75">
      <c r="A246" s="280">
        <v>216</v>
      </c>
      <c r="B246" s="476" t="s">
        <v>354</v>
      </c>
      <c r="C246" s="280" t="s">
        <v>15</v>
      </c>
      <c r="D246" s="479">
        <v>3</v>
      </c>
    </row>
    <row r="247" spans="1:4" s="264" customFormat="1" ht="12.75">
      <c r="A247" s="280">
        <v>217</v>
      </c>
      <c r="B247" s="476" t="s">
        <v>249</v>
      </c>
      <c r="C247" s="280" t="s">
        <v>15</v>
      </c>
      <c r="D247" s="280">
        <v>1</v>
      </c>
    </row>
    <row r="248" spans="1:4" s="264" customFormat="1" ht="12.75">
      <c r="A248" s="280">
        <v>218</v>
      </c>
      <c r="B248" s="476" t="s">
        <v>384</v>
      </c>
      <c r="C248" s="280" t="s">
        <v>15</v>
      </c>
      <c r="D248" s="280">
        <v>1</v>
      </c>
    </row>
    <row r="249" spans="1:4" s="264" customFormat="1" ht="12.75">
      <c r="A249" s="280">
        <v>219</v>
      </c>
      <c r="B249" s="476" t="s">
        <v>252</v>
      </c>
      <c r="C249" s="280" t="s">
        <v>3</v>
      </c>
      <c r="D249" s="280">
        <v>1</v>
      </c>
    </row>
    <row r="250" spans="1:4" s="264" customFormat="1" ht="12.75">
      <c r="A250" s="280">
        <v>220</v>
      </c>
      <c r="B250" s="476" t="s">
        <v>253</v>
      </c>
      <c r="C250" s="280" t="s">
        <v>3</v>
      </c>
      <c r="D250" s="280">
        <v>1</v>
      </c>
    </row>
    <row r="251" spans="1:4" s="387" customFormat="1" ht="12.75">
      <c r="A251" s="409"/>
      <c r="B251" s="483" t="s">
        <v>385</v>
      </c>
      <c r="C251" s="484"/>
      <c r="D251" s="485"/>
    </row>
    <row r="252" spans="1:4" s="264" customFormat="1" ht="63.75">
      <c r="A252" s="280">
        <v>221</v>
      </c>
      <c r="B252" s="486" t="s">
        <v>1296</v>
      </c>
      <c r="C252" s="280" t="s">
        <v>3</v>
      </c>
      <c r="D252" s="280">
        <v>1</v>
      </c>
    </row>
    <row r="253" spans="1:4" s="264" customFormat="1" ht="12.75">
      <c r="A253" s="280">
        <v>222</v>
      </c>
      <c r="B253" s="476" t="s">
        <v>386</v>
      </c>
      <c r="C253" s="280" t="s">
        <v>15</v>
      </c>
      <c r="D253" s="270">
        <v>3</v>
      </c>
    </row>
    <row r="254" spans="1:4" s="264" customFormat="1" ht="12.75">
      <c r="A254" s="280">
        <v>223</v>
      </c>
      <c r="B254" s="476" t="s">
        <v>387</v>
      </c>
      <c r="C254" s="280" t="s">
        <v>15</v>
      </c>
      <c r="D254" s="280">
        <v>1</v>
      </c>
    </row>
    <row r="255" spans="1:4" s="264" customFormat="1" ht="12.75">
      <c r="A255" s="280">
        <v>224</v>
      </c>
      <c r="B255" s="476" t="s">
        <v>388</v>
      </c>
      <c r="C255" s="280" t="s">
        <v>15</v>
      </c>
      <c r="D255" s="479">
        <v>1</v>
      </c>
    </row>
    <row r="256" spans="1:4" s="264" customFormat="1" ht="12.75">
      <c r="A256" s="280">
        <v>225</v>
      </c>
      <c r="B256" s="476" t="s">
        <v>249</v>
      </c>
      <c r="C256" s="280" t="s">
        <v>15</v>
      </c>
      <c r="D256" s="280">
        <v>1</v>
      </c>
    </row>
    <row r="257" spans="1:4" s="264" customFormat="1" ht="12.75">
      <c r="A257" s="280">
        <v>226</v>
      </c>
      <c r="B257" s="476" t="s">
        <v>1297</v>
      </c>
      <c r="C257" s="280" t="s">
        <v>15</v>
      </c>
      <c r="D257" s="280">
        <v>1</v>
      </c>
    </row>
    <row r="258" spans="1:4" s="264" customFormat="1" ht="12.75">
      <c r="A258" s="280">
        <v>227</v>
      </c>
      <c r="B258" s="476" t="s">
        <v>252</v>
      </c>
      <c r="C258" s="280" t="s">
        <v>3</v>
      </c>
      <c r="D258" s="280">
        <v>1</v>
      </c>
    </row>
    <row r="259" spans="1:4" s="264" customFormat="1" ht="12.75">
      <c r="A259" s="280">
        <v>228</v>
      </c>
      <c r="B259" s="476" t="s">
        <v>253</v>
      </c>
      <c r="C259" s="280" t="s">
        <v>3</v>
      </c>
      <c r="D259" s="280">
        <v>1</v>
      </c>
    </row>
    <row r="260" spans="1:4" s="264" customFormat="1" ht="12.75">
      <c r="A260" s="280"/>
      <c r="B260" s="487" t="s">
        <v>390</v>
      </c>
      <c r="C260" s="488"/>
      <c r="D260" s="485"/>
    </row>
    <row r="261" spans="1:4" s="264" customFormat="1" ht="54.75" customHeight="1">
      <c r="A261" s="280">
        <v>229</v>
      </c>
      <c r="B261" s="486" t="s">
        <v>667</v>
      </c>
      <c r="C261" s="280" t="s">
        <v>3</v>
      </c>
      <c r="D261" s="280">
        <v>1</v>
      </c>
    </row>
    <row r="262" spans="1:4" s="264" customFormat="1" ht="12.75">
      <c r="A262" s="280">
        <v>230</v>
      </c>
      <c r="B262" s="476" t="s">
        <v>371</v>
      </c>
      <c r="C262" s="280" t="s">
        <v>15</v>
      </c>
      <c r="D262" s="270">
        <v>4</v>
      </c>
    </row>
    <row r="263" spans="1:4" s="264" customFormat="1" ht="12.75">
      <c r="A263" s="280">
        <v>231</v>
      </c>
      <c r="B263" s="476" t="s">
        <v>372</v>
      </c>
      <c r="C263" s="280" t="s">
        <v>15</v>
      </c>
      <c r="D263" s="280">
        <v>1</v>
      </c>
    </row>
    <row r="264" spans="1:4" s="264" customFormat="1" ht="12.75">
      <c r="A264" s="280">
        <v>232</v>
      </c>
      <c r="B264" s="476" t="s">
        <v>373</v>
      </c>
      <c r="C264" s="280" t="s">
        <v>15</v>
      </c>
      <c r="D264" s="479">
        <v>1</v>
      </c>
    </row>
    <row r="265" spans="1:4" s="264" customFormat="1" ht="12.75">
      <c r="A265" s="280">
        <v>233</v>
      </c>
      <c r="B265" s="476" t="s">
        <v>249</v>
      </c>
      <c r="C265" s="280" t="s">
        <v>15</v>
      </c>
      <c r="D265" s="280">
        <v>1</v>
      </c>
    </row>
    <row r="266" spans="1:4" s="264" customFormat="1" ht="12.75">
      <c r="A266" s="280">
        <v>234</v>
      </c>
      <c r="B266" s="476" t="s">
        <v>374</v>
      </c>
      <c r="C266" s="280" t="s">
        <v>15</v>
      </c>
      <c r="D266" s="280">
        <v>1</v>
      </c>
    </row>
    <row r="267" spans="1:4" s="264" customFormat="1" ht="12.75">
      <c r="A267" s="280">
        <v>235</v>
      </c>
      <c r="B267" s="476" t="s">
        <v>252</v>
      </c>
      <c r="C267" s="280" t="s">
        <v>3</v>
      </c>
      <c r="D267" s="280">
        <v>1</v>
      </c>
    </row>
    <row r="268" spans="1:4" s="264" customFormat="1" ht="12.75">
      <c r="A268" s="280">
        <v>236</v>
      </c>
      <c r="B268" s="476" t="s">
        <v>253</v>
      </c>
      <c r="C268" s="280" t="s">
        <v>3</v>
      </c>
      <c r="D268" s="280">
        <v>1</v>
      </c>
    </row>
    <row r="269" spans="1:4" s="387" customFormat="1" ht="12.75">
      <c r="A269" s="409"/>
      <c r="B269" s="483" t="s">
        <v>391</v>
      </c>
      <c r="C269" s="484"/>
      <c r="D269" s="485"/>
    </row>
    <row r="270" spans="1:4" s="264" customFormat="1" ht="53.25" customHeight="1">
      <c r="A270" s="280">
        <v>237</v>
      </c>
      <c r="B270" s="486" t="s">
        <v>668</v>
      </c>
      <c r="C270" s="280" t="s">
        <v>3</v>
      </c>
      <c r="D270" s="280">
        <v>1</v>
      </c>
    </row>
    <row r="271" spans="1:4" s="264" customFormat="1" ht="12.75">
      <c r="A271" s="280">
        <v>238</v>
      </c>
      <c r="B271" s="476" t="s">
        <v>371</v>
      </c>
      <c r="C271" s="280" t="s">
        <v>15</v>
      </c>
      <c r="D271" s="270">
        <v>1</v>
      </c>
    </row>
    <row r="272" spans="1:4" s="264" customFormat="1" ht="12.75">
      <c r="A272" s="280">
        <v>239</v>
      </c>
      <c r="B272" s="476" t="s">
        <v>371</v>
      </c>
      <c r="C272" s="280" t="s">
        <v>15</v>
      </c>
      <c r="D272" s="270">
        <v>2</v>
      </c>
    </row>
    <row r="273" spans="1:4" s="264" customFormat="1" ht="12.75">
      <c r="A273" s="280">
        <v>240</v>
      </c>
      <c r="B273" s="476" t="s">
        <v>372</v>
      </c>
      <c r="C273" s="280" t="s">
        <v>15</v>
      </c>
      <c r="D273" s="280">
        <v>1</v>
      </c>
    </row>
    <row r="274" spans="1:4" s="264" customFormat="1" ht="12.75">
      <c r="A274" s="280">
        <v>241</v>
      </c>
      <c r="B274" s="476" t="s">
        <v>373</v>
      </c>
      <c r="C274" s="280" t="s">
        <v>15</v>
      </c>
      <c r="D274" s="479">
        <v>1</v>
      </c>
    </row>
    <row r="275" spans="1:4" s="264" customFormat="1" ht="12.75">
      <c r="A275" s="280">
        <v>242</v>
      </c>
      <c r="B275" s="476" t="s">
        <v>249</v>
      </c>
      <c r="C275" s="280" t="s">
        <v>15</v>
      </c>
      <c r="D275" s="280">
        <v>1</v>
      </c>
    </row>
    <row r="276" spans="1:4" s="264" customFormat="1" ht="12.75">
      <c r="A276" s="280">
        <v>243</v>
      </c>
      <c r="B276" s="476" t="s">
        <v>392</v>
      </c>
      <c r="C276" s="280" t="s">
        <v>15</v>
      </c>
      <c r="D276" s="280">
        <v>1</v>
      </c>
    </row>
    <row r="277" spans="1:4" s="264" customFormat="1" ht="12.75">
      <c r="A277" s="280">
        <v>244</v>
      </c>
      <c r="B277" s="476" t="s">
        <v>252</v>
      </c>
      <c r="C277" s="280" t="s">
        <v>3</v>
      </c>
      <c r="D277" s="280">
        <v>1</v>
      </c>
    </row>
    <row r="278" spans="1:4" s="264" customFormat="1" ht="12.75">
      <c r="A278" s="280">
        <v>245</v>
      </c>
      <c r="B278" s="476" t="s">
        <v>253</v>
      </c>
      <c r="C278" s="280" t="s">
        <v>3</v>
      </c>
      <c r="D278" s="280">
        <v>1</v>
      </c>
    </row>
    <row r="279" spans="1:4" s="264" customFormat="1" ht="12.75">
      <c r="A279" s="280"/>
      <c r="B279" s="487" t="s">
        <v>393</v>
      </c>
      <c r="C279" s="488"/>
      <c r="D279" s="485"/>
    </row>
    <row r="280" spans="1:4" s="264" customFormat="1" ht="57" customHeight="1">
      <c r="A280" s="280">
        <v>246</v>
      </c>
      <c r="B280" s="486" t="s">
        <v>669</v>
      </c>
      <c r="C280" s="280" t="s">
        <v>3</v>
      </c>
      <c r="D280" s="280">
        <v>1</v>
      </c>
    </row>
    <row r="281" spans="1:4" s="264" customFormat="1" ht="12.75">
      <c r="A281" s="280">
        <v>247</v>
      </c>
      <c r="B281" s="476" t="s">
        <v>371</v>
      </c>
      <c r="C281" s="280" t="s">
        <v>15</v>
      </c>
      <c r="D281" s="270">
        <v>1</v>
      </c>
    </row>
    <row r="282" spans="1:4" s="264" customFormat="1" ht="12.75">
      <c r="A282" s="280">
        <v>248</v>
      </c>
      <c r="B282" s="476" t="s">
        <v>371</v>
      </c>
      <c r="C282" s="280" t="s">
        <v>15</v>
      </c>
      <c r="D282" s="270">
        <v>2</v>
      </c>
    </row>
    <row r="283" spans="1:4" s="264" customFormat="1" ht="12.75">
      <c r="A283" s="280">
        <v>249</v>
      </c>
      <c r="B283" s="476" t="s">
        <v>372</v>
      </c>
      <c r="C283" s="280" t="s">
        <v>15</v>
      </c>
      <c r="D283" s="280">
        <v>1</v>
      </c>
    </row>
    <row r="284" spans="1:4" s="264" customFormat="1" ht="12.75">
      <c r="A284" s="280">
        <v>250</v>
      </c>
      <c r="B284" s="476" t="s">
        <v>373</v>
      </c>
      <c r="C284" s="280" t="s">
        <v>15</v>
      </c>
      <c r="D284" s="479">
        <v>1</v>
      </c>
    </row>
    <row r="285" spans="1:4" s="264" customFormat="1" ht="12.75">
      <c r="A285" s="280">
        <v>251</v>
      </c>
      <c r="B285" s="476" t="s">
        <v>249</v>
      </c>
      <c r="C285" s="280" t="s">
        <v>15</v>
      </c>
      <c r="D285" s="280">
        <v>1</v>
      </c>
    </row>
    <row r="286" spans="1:4" s="264" customFormat="1" ht="12.75">
      <c r="A286" s="280">
        <v>252</v>
      </c>
      <c r="B286" s="476" t="s">
        <v>392</v>
      </c>
      <c r="C286" s="280" t="s">
        <v>15</v>
      </c>
      <c r="D286" s="280">
        <v>1</v>
      </c>
    </row>
    <row r="287" spans="1:4" s="264" customFormat="1" ht="12.75">
      <c r="A287" s="280">
        <v>253</v>
      </c>
      <c r="B287" s="476" t="s">
        <v>252</v>
      </c>
      <c r="C287" s="280" t="s">
        <v>3</v>
      </c>
      <c r="D287" s="280">
        <v>1</v>
      </c>
    </row>
    <row r="288" spans="1:4" s="264" customFormat="1" ht="12.75">
      <c r="A288" s="280">
        <v>254</v>
      </c>
      <c r="B288" s="476" t="s">
        <v>253</v>
      </c>
      <c r="C288" s="280" t="s">
        <v>3</v>
      </c>
      <c r="D288" s="280">
        <v>1</v>
      </c>
    </row>
    <row r="289" spans="1:4" s="387" customFormat="1" ht="12.75">
      <c r="A289" s="409"/>
      <c r="B289" s="483" t="s">
        <v>394</v>
      </c>
      <c r="C289" s="484"/>
      <c r="D289" s="485"/>
    </row>
    <row r="290" spans="1:4" s="264" customFormat="1" ht="32.25" customHeight="1">
      <c r="A290" s="280">
        <v>255</v>
      </c>
      <c r="B290" s="486" t="s">
        <v>1681</v>
      </c>
      <c r="C290" s="280" t="s">
        <v>15</v>
      </c>
      <c r="D290" s="280">
        <v>1</v>
      </c>
    </row>
    <row r="291" spans="1:4" s="264" customFormat="1" ht="14.25">
      <c r="A291" s="280">
        <v>256</v>
      </c>
      <c r="B291" s="476" t="s">
        <v>395</v>
      </c>
      <c r="C291" s="280" t="s">
        <v>15</v>
      </c>
      <c r="D291" s="294">
        <v>1</v>
      </c>
    </row>
    <row r="292" spans="1:4" s="264" customFormat="1" ht="14.25">
      <c r="A292" s="280">
        <v>257</v>
      </c>
      <c r="B292" s="476" t="s">
        <v>249</v>
      </c>
      <c r="C292" s="280" t="s">
        <v>15</v>
      </c>
      <c r="D292" s="294">
        <v>1</v>
      </c>
    </row>
    <row r="293" spans="1:4" s="264" customFormat="1" ht="12.75">
      <c r="A293" s="280">
        <v>258</v>
      </c>
      <c r="B293" s="476" t="s">
        <v>252</v>
      </c>
      <c r="C293" s="280" t="s">
        <v>3</v>
      </c>
      <c r="D293" s="280">
        <v>1</v>
      </c>
    </row>
    <row r="294" spans="1:4" s="264" customFormat="1" ht="12.75">
      <c r="A294" s="280">
        <v>259</v>
      </c>
      <c r="B294" s="476" t="s">
        <v>253</v>
      </c>
      <c r="C294" s="280" t="s">
        <v>3</v>
      </c>
      <c r="D294" s="280">
        <v>1</v>
      </c>
    </row>
    <row r="295" spans="1:4" s="264" customFormat="1" ht="12.75">
      <c r="A295" s="280"/>
      <c r="B295" s="487" t="s">
        <v>396</v>
      </c>
      <c r="C295" s="488"/>
      <c r="D295" s="485"/>
    </row>
    <row r="296" spans="1:4" s="264" customFormat="1" ht="30.75" customHeight="1">
      <c r="A296" s="280">
        <v>260</v>
      </c>
      <c r="B296" s="486" t="s">
        <v>1681</v>
      </c>
      <c r="C296" s="280" t="s">
        <v>15</v>
      </c>
      <c r="D296" s="280">
        <v>1</v>
      </c>
    </row>
    <row r="297" spans="1:4" s="264" customFormat="1" ht="12.75">
      <c r="A297" s="280">
        <v>261</v>
      </c>
      <c r="B297" s="476" t="s">
        <v>1295</v>
      </c>
      <c r="C297" s="280" t="s">
        <v>15</v>
      </c>
      <c r="D297" s="280">
        <v>1</v>
      </c>
    </row>
    <row r="298" spans="1:4" s="264" customFormat="1" ht="12.75">
      <c r="A298" s="280">
        <v>262</v>
      </c>
      <c r="B298" s="476" t="s">
        <v>249</v>
      </c>
      <c r="C298" s="280" t="s">
        <v>15</v>
      </c>
      <c r="D298" s="280">
        <v>1</v>
      </c>
    </row>
    <row r="299" spans="1:4" s="264" customFormat="1" ht="12.75">
      <c r="A299" s="280">
        <v>263</v>
      </c>
      <c r="B299" s="476" t="s">
        <v>252</v>
      </c>
      <c r="C299" s="280" t="s">
        <v>3</v>
      </c>
      <c r="D299" s="280">
        <v>1</v>
      </c>
    </row>
    <row r="300" spans="1:4" s="264" customFormat="1" ht="12.75">
      <c r="A300" s="280">
        <v>264</v>
      </c>
      <c r="B300" s="476" t="s">
        <v>253</v>
      </c>
      <c r="C300" s="280" t="s">
        <v>3</v>
      </c>
      <c r="D300" s="280">
        <v>1</v>
      </c>
    </row>
    <row r="301" spans="1:4" s="387" customFormat="1" ht="12.75">
      <c r="A301" s="409"/>
      <c r="B301" s="483" t="s">
        <v>397</v>
      </c>
      <c r="C301" s="484"/>
      <c r="D301" s="485"/>
    </row>
    <row r="302" spans="1:4" s="264" customFormat="1" ht="25.5">
      <c r="A302" s="280">
        <v>265</v>
      </c>
      <c r="B302" s="399" t="s">
        <v>1682</v>
      </c>
      <c r="C302" s="280" t="s">
        <v>15</v>
      </c>
      <c r="D302" s="270">
        <v>1</v>
      </c>
    </row>
    <row r="303" spans="1:4" s="264" customFormat="1" ht="28.5" customHeight="1">
      <c r="A303" s="280">
        <v>266</v>
      </c>
      <c r="B303" s="399" t="s">
        <v>1681</v>
      </c>
      <c r="C303" s="280" t="s">
        <v>15</v>
      </c>
      <c r="D303" s="270">
        <v>1</v>
      </c>
    </row>
    <row r="304" spans="1:4" s="264" customFormat="1" ht="12.75">
      <c r="A304" s="280">
        <v>267</v>
      </c>
      <c r="B304" s="476" t="s">
        <v>389</v>
      </c>
      <c r="C304" s="280" t="s">
        <v>15</v>
      </c>
      <c r="D304" s="280">
        <v>1</v>
      </c>
    </row>
    <row r="305" spans="1:4" s="264" customFormat="1" ht="12.75">
      <c r="A305" s="280">
        <v>268</v>
      </c>
      <c r="B305" s="476" t="s">
        <v>1290</v>
      </c>
      <c r="C305" s="280" t="s">
        <v>15</v>
      </c>
      <c r="D305" s="270">
        <v>1</v>
      </c>
    </row>
    <row r="306" spans="1:4" s="264" customFormat="1" ht="12.75">
      <c r="A306" s="280">
        <v>269</v>
      </c>
      <c r="B306" s="476" t="s">
        <v>249</v>
      </c>
      <c r="C306" s="280" t="s">
        <v>15</v>
      </c>
      <c r="D306" s="280">
        <v>1</v>
      </c>
    </row>
    <row r="307" spans="1:4" s="264" customFormat="1" ht="12.75">
      <c r="A307" s="280">
        <v>270</v>
      </c>
      <c r="B307" s="476" t="s">
        <v>252</v>
      </c>
      <c r="C307" s="280" t="s">
        <v>3</v>
      </c>
      <c r="D307" s="280">
        <v>1</v>
      </c>
    </row>
    <row r="308" spans="1:4" s="264" customFormat="1" ht="12.75">
      <c r="A308" s="280">
        <v>271</v>
      </c>
      <c r="B308" s="476" t="s">
        <v>253</v>
      </c>
      <c r="C308" s="280" t="s">
        <v>3</v>
      </c>
      <c r="D308" s="280">
        <v>1</v>
      </c>
    </row>
    <row r="309" spans="1:4" s="264" customFormat="1" ht="12.75">
      <c r="A309" s="280"/>
      <c r="B309" s="487" t="s">
        <v>398</v>
      </c>
      <c r="C309" s="488"/>
      <c r="D309" s="485"/>
    </row>
    <row r="310" spans="1:4" s="264" customFormat="1" ht="31.5" customHeight="1">
      <c r="A310" s="280">
        <v>272</v>
      </c>
      <c r="B310" s="486" t="s">
        <v>1681</v>
      </c>
      <c r="C310" s="280" t="s">
        <v>3</v>
      </c>
      <c r="D310" s="280">
        <v>1</v>
      </c>
    </row>
    <row r="311" spans="1:4" s="264" customFormat="1" ht="12.75">
      <c r="A311" s="280">
        <v>273</v>
      </c>
      <c r="B311" s="476" t="s">
        <v>399</v>
      </c>
      <c r="C311" s="280" t="s">
        <v>15</v>
      </c>
      <c r="D311" s="280">
        <v>1</v>
      </c>
    </row>
    <row r="312" spans="1:4" s="264" customFormat="1" ht="12.75">
      <c r="A312" s="280">
        <v>274</v>
      </c>
      <c r="B312" s="476" t="s">
        <v>249</v>
      </c>
      <c r="C312" s="280" t="s">
        <v>15</v>
      </c>
      <c r="D312" s="280">
        <v>1</v>
      </c>
    </row>
    <row r="313" spans="1:4" s="264" customFormat="1" ht="12.75">
      <c r="A313" s="280">
        <v>275</v>
      </c>
      <c r="B313" s="476" t="s">
        <v>252</v>
      </c>
      <c r="C313" s="280" t="s">
        <v>3</v>
      </c>
      <c r="D313" s="280">
        <v>1</v>
      </c>
    </row>
    <row r="314" spans="1:4" s="264" customFormat="1" ht="12.75">
      <c r="A314" s="280">
        <v>276</v>
      </c>
      <c r="B314" s="476" t="s">
        <v>253</v>
      </c>
      <c r="C314" s="280" t="s">
        <v>3</v>
      </c>
      <c r="D314" s="280">
        <v>1</v>
      </c>
    </row>
    <row r="315" spans="1:4" s="264" customFormat="1" ht="12.75">
      <c r="A315" s="280"/>
      <c r="B315" s="487" t="s">
        <v>398</v>
      </c>
      <c r="C315" s="488"/>
      <c r="D315" s="485"/>
    </row>
    <row r="316" spans="1:4" s="264" customFormat="1" ht="31.5" customHeight="1">
      <c r="A316" s="280">
        <v>277</v>
      </c>
      <c r="B316" s="486" t="s">
        <v>1681</v>
      </c>
      <c r="C316" s="280" t="s">
        <v>3</v>
      </c>
      <c r="D316" s="280">
        <v>1</v>
      </c>
    </row>
    <row r="317" spans="1:4" s="264" customFormat="1" ht="12.75">
      <c r="A317" s="280">
        <v>278</v>
      </c>
      <c r="B317" s="476" t="s">
        <v>399</v>
      </c>
      <c r="C317" s="280" t="s">
        <v>15</v>
      </c>
      <c r="D317" s="280">
        <v>1</v>
      </c>
    </row>
    <row r="318" spans="1:4" s="264" customFormat="1" ht="12.75">
      <c r="A318" s="280">
        <v>279</v>
      </c>
      <c r="B318" s="476" t="s">
        <v>249</v>
      </c>
      <c r="C318" s="280" t="s">
        <v>15</v>
      </c>
      <c r="D318" s="280">
        <v>1</v>
      </c>
    </row>
    <row r="319" spans="1:4" s="264" customFormat="1" ht="12.75">
      <c r="A319" s="280">
        <v>280</v>
      </c>
      <c r="B319" s="476" t="s">
        <v>252</v>
      </c>
      <c r="C319" s="280" t="s">
        <v>3</v>
      </c>
      <c r="D319" s="280">
        <v>1</v>
      </c>
    </row>
    <row r="320" spans="1:4" s="264" customFormat="1" ht="12.75">
      <c r="A320" s="280">
        <v>281</v>
      </c>
      <c r="B320" s="476" t="s">
        <v>253</v>
      </c>
      <c r="C320" s="280" t="s">
        <v>3</v>
      </c>
      <c r="D320" s="280">
        <v>1</v>
      </c>
    </row>
    <row r="321" spans="1:4" s="264" customFormat="1" ht="12.75">
      <c r="A321" s="280"/>
      <c r="B321" s="487" t="s">
        <v>400</v>
      </c>
      <c r="C321" s="488"/>
      <c r="D321" s="485"/>
    </row>
    <row r="322" spans="1:4" s="264" customFormat="1" ht="30" customHeight="1">
      <c r="A322" s="280">
        <v>282</v>
      </c>
      <c r="B322" s="486" t="s">
        <v>1681</v>
      </c>
      <c r="C322" s="280" t="s">
        <v>3</v>
      </c>
      <c r="D322" s="280">
        <v>1</v>
      </c>
    </row>
    <row r="323" spans="1:4" s="264" customFormat="1" ht="12.75">
      <c r="A323" s="280">
        <v>283</v>
      </c>
      <c r="B323" s="476" t="s">
        <v>399</v>
      </c>
      <c r="C323" s="280" t="s">
        <v>15</v>
      </c>
      <c r="D323" s="280">
        <v>1</v>
      </c>
    </row>
    <row r="324" spans="1:4" s="264" customFormat="1" ht="12.75">
      <c r="A324" s="280">
        <v>284</v>
      </c>
      <c r="B324" s="476" t="s">
        <v>249</v>
      </c>
      <c r="C324" s="280" t="s">
        <v>15</v>
      </c>
      <c r="D324" s="280">
        <v>1</v>
      </c>
    </row>
    <row r="325" spans="1:4" s="264" customFormat="1" ht="12.75">
      <c r="A325" s="280">
        <v>285</v>
      </c>
      <c r="B325" s="476" t="s">
        <v>252</v>
      </c>
      <c r="C325" s="280" t="s">
        <v>3</v>
      </c>
      <c r="D325" s="280">
        <v>1</v>
      </c>
    </row>
    <row r="326" spans="1:4" s="264" customFormat="1" ht="12.75">
      <c r="A326" s="280">
        <v>286</v>
      </c>
      <c r="B326" s="476" t="s">
        <v>253</v>
      </c>
      <c r="C326" s="280" t="s">
        <v>3</v>
      </c>
      <c r="D326" s="280">
        <v>1</v>
      </c>
    </row>
    <row r="327" spans="1:4" s="264" customFormat="1" ht="12.75">
      <c r="A327" s="280"/>
      <c r="B327" s="487" t="s">
        <v>401</v>
      </c>
      <c r="C327" s="488"/>
      <c r="D327" s="485"/>
    </row>
    <row r="328" spans="1:4" s="264" customFormat="1" ht="33" customHeight="1">
      <c r="A328" s="280">
        <v>287</v>
      </c>
      <c r="B328" s="486" t="s">
        <v>1681</v>
      </c>
      <c r="C328" s="280" t="s">
        <v>3</v>
      </c>
      <c r="D328" s="280">
        <v>1</v>
      </c>
    </row>
    <row r="329" spans="1:4" s="264" customFormat="1" ht="12.75">
      <c r="A329" s="280">
        <v>288</v>
      </c>
      <c r="B329" s="476" t="s">
        <v>662</v>
      </c>
      <c r="C329" s="280" t="s">
        <v>15</v>
      </c>
      <c r="D329" s="280">
        <v>1</v>
      </c>
    </row>
    <row r="330" spans="1:4" s="264" customFormat="1" ht="12.75">
      <c r="A330" s="280">
        <v>289</v>
      </c>
      <c r="B330" s="476" t="s">
        <v>249</v>
      </c>
      <c r="C330" s="280" t="s">
        <v>15</v>
      </c>
      <c r="D330" s="280">
        <v>1</v>
      </c>
    </row>
    <row r="331" spans="1:4" s="264" customFormat="1" ht="12.75">
      <c r="A331" s="280">
        <v>290</v>
      </c>
      <c r="B331" s="476" t="s">
        <v>252</v>
      </c>
      <c r="C331" s="280" t="s">
        <v>3</v>
      </c>
      <c r="D331" s="280">
        <v>1</v>
      </c>
    </row>
    <row r="332" spans="1:4" s="264" customFormat="1" ht="12.75">
      <c r="A332" s="280">
        <v>291</v>
      </c>
      <c r="B332" s="476" t="s">
        <v>253</v>
      </c>
      <c r="C332" s="280" t="s">
        <v>3</v>
      </c>
      <c r="D332" s="280">
        <v>1</v>
      </c>
    </row>
    <row r="333" spans="1:4" s="264" customFormat="1" ht="12.75">
      <c r="A333" s="280"/>
      <c r="B333" s="489" t="s">
        <v>402</v>
      </c>
      <c r="C333" s="280"/>
      <c r="D333" s="280"/>
    </row>
    <row r="334" spans="1:4" s="264" customFormat="1" ht="12.75">
      <c r="A334" s="280">
        <v>292</v>
      </c>
      <c r="B334" s="476" t="s">
        <v>315</v>
      </c>
      <c r="C334" s="280" t="s">
        <v>15</v>
      </c>
      <c r="D334" s="267">
        <v>6</v>
      </c>
    </row>
    <row r="335" spans="1:4" s="264" customFormat="1" ht="12.75">
      <c r="A335" s="280">
        <v>293</v>
      </c>
      <c r="B335" s="476" t="s">
        <v>399</v>
      </c>
      <c r="C335" s="280" t="s">
        <v>15</v>
      </c>
      <c r="D335" s="280">
        <v>1</v>
      </c>
    </row>
    <row r="336" spans="1:4" s="264" customFormat="1" ht="12.75">
      <c r="A336" s="280"/>
      <c r="B336" s="487" t="s">
        <v>257</v>
      </c>
      <c r="C336" s="280"/>
      <c r="D336" s="479"/>
    </row>
    <row r="337" spans="1:4" s="264" customFormat="1" ht="12.75">
      <c r="A337" s="280">
        <v>294</v>
      </c>
      <c r="B337" s="476" t="s">
        <v>258</v>
      </c>
      <c r="C337" s="280" t="s">
        <v>309</v>
      </c>
      <c r="D337" s="479">
        <v>50</v>
      </c>
    </row>
    <row r="338" spans="1:4" s="264" customFormat="1" ht="12.75">
      <c r="A338" s="280">
        <v>295</v>
      </c>
      <c r="B338" s="476" t="s">
        <v>259</v>
      </c>
      <c r="C338" s="280" t="s">
        <v>309</v>
      </c>
      <c r="D338" s="479">
        <v>72</v>
      </c>
    </row>
    <row r="339" spans="1:4" s="264" customFormat="1" ht="12.75">
      <c r="A339" s="280">
        <v>296</v>
      </c>
      <c r="B339" s="476" t="s">
        <v>260</v>
      </c>
      <c r="C339" s="280" t="s">
        <v>309</v>
      </c>
      <c r="D339" s="479">
        <v>76</v>
      </c>
    </row>
    <row r="340" spans="1:4" s="264" customFormat="1" ht="12.75">
      <c r="A340" s="280">
        <v>297</v>
      </c>
      <c r="B340" s="476" t="s">
        <v>261</v>
      </c>
      <c r="C340" s="280" t="s">
        <v>309</v>
      </c>
      <c r="D340" s="479">
        <v>406</v>
      </c>
    </row>
    <row r="341" spans="1:4" s="264" customFormat="1" ht="12.75">
      <c r="A341" s="280">
        <v>298</v>
      </c>
      <c r="B341" s="476" t="s">
        <v>262</v>
      </c>
      <c r="C341" s="280" t="s">
        <v>309</v>
      </c>
      <c r="D341" s="479">
        <v>65</v>
      </c>
    </row>
    <row r="342" spans="1:4" s="264" customFormat="1" ht="12.75">
      <c r="A342" s="280">
        <v>299</v>
      </c>
      <c r="B342" s="476" t="s">
        <v>263</v>
      </c>
      <c r="C342" s="280" t="s">
        <v>309</v>
      </c>
      <c r="D342" s="479">
        <v>60</v>
      </c>
    </row>
    <row r="343" spans="1:4" s="264" customFormat="1" ht="12.75">
      <c r="A343" s="280">
        <v>300</v>
      </c>
      <c r="B343" s="476" t="s">
        <v>264</v>
      </c>
      <c r="C343" s="280" t="s">
        <v>309</v>
      </c>
      <c r="D343" s="479">
        <v>35</v>
      </c>
    </row>
    <row r="344" spans="1:4" s="264" customFormat="1" ht="12.75">
      <c r="A344" s="280">
        <v>301</v>
      </c>
      <c r="B344" s="476" t="s">
        <v>265</v>
      </c>
      <c r="C344" s="280" t="s">
        <v>309</v>
      </c>
      <c r="D344" s="479">
        <v>15</v>
      </c>
    </row>
    <row r="345" spans="1:4" s="264" customFormat="1" ht="12.75">
      <c r="A345" s="280">
        <v>302</v>
      </c>
      <c r="B345" s="476" t="s">
        <v>266</v>
      </c>
      <c r="C345" s="280" t="s">
        <v>309</v>
      </c>
      <c r="D345" s="479">
        <v>4.32</v>
      </c>
    </row>
    <row r="346" spans="1:4" s="264" customFormat="1" ht="12.75">
      <c r="A346" s="280">
        <v>303</v>
      </c>
      <c r="B346" s="476" t="s">
        <v>267</v>
      </c>
      <c r="C346" s="280" t="s">
        <v>309</v>
      </c>
      <c r="D346" s="479">
        <v>11.88</v>
      </c>
    </row>
    <row r="347" spans="1:4" s="264" customFormat="1" ht="12.75">
      <c r="A347" s="280">
        <v>304</v>
      </c>
      <c r="B347" s="476" t="s">
        <v>268</v>
      </c>
      <c r="C347" s="280" t="s">
        <v>309</v>
      </c>
      <c r="D347" s="479">
        <v>19.8</v>
      </c>
    </row>
    <row r="348" spans="1:4" s="264" customFormat="1" ht="12.75">
      <c r="A348" s="280">
        <v>305</v>
      </c>
      <c r="B348" s="476" t="s">
        <v>269</v>
      </c>
      <c r="C348" s="280" t="s">
        <v>309</v>
      </c>
      <c r="D348" s="479">
        <v>35.16</v>
      </c>
    </row>
    <row r="349" spans="1:4" s="264" customFormat="1" ht="12.75">
      <c r="A349" s="280">
        <v>306</v>
      </c>
      <c r="B349" s="476" t="s">
        <v>270</v>
      </c>
      <c r="C349" s="280" t="s">
        <v>309</v>
      </c>
      <c r="D349" s="479">
        <v>15.48</v>
      </c>
    </row>
    <row r="350" spans="1:4" s="264" customFormat="1" ht="12.75">
      <c r="A350" s="280">
        <v>307</v>
      </c>
      <c r="B350" s="476" t="s">
        <v>271</v>
      </c>
      <c r="C350" s="280" t="s">
        <v>309</v>
      </c>
      <c r="D350" s="479">
        <v>9.48</v>
      </c>
    </row>
    <row r="351" spans="1:4" s="264" customFormat="1" ht="12.75">
      <c r="A351" s="280">
        <v>308</v>
      </c>
      <c r="B351" s="476" t="s">
        <v>272</v>
      </c>
      <c r="C351" s="280" t="s">
        <v>309</v>
      </c>
      <c r="D351" s="479">
        <v>40.32</v>
      </c>
    </row>
    <row r="352" spans="1:4" s="264" customFormat="1" ht="12.75">
      <c r="A352" s="280">
        <v>309</v>
      </c>
      <c r="B352" s="476" t="s">
        <v>273</v>
      </c>
      <c r="C352" s="280" t="s">
        <v>309</v>
      </c>
      <c r="D352" s="479">
        <v>111.84</v>
      </c>
    </row>
    <row r="353" spans="1:4" s="264" customFormat="1" ht="12.75">
      <c r="A353" s="280">
        <v>310</v>
      </c>
      <c r="B353" s="476" t="s">
        <v>274</v>
      </c>
      <c r="C353" s="280" t="s">
        <v>309</v>
      </c>
      <c r="D353" s="479">
        <v>16.2</v>
      </c>
    </row>
    <row r="354" spans="1:4" s="264" customFormat="1" ht="12.75">
      <c r="A354" s="280">
        <v>311</v>
      </c>
      <c r="B354" s="476" t="s">
        <v>275</v>
      </c>
      <c r="C354" s="280" t="s">
        <v>309</v>
      </c>
      <c r="D354" s="479">
        <v>54.48</v>
      </c>
    </row>
    <row r="355" spans="1:4" s="264" customFormat="1" ht="12.75">
      <c r="A355" s="280">
        <v>312</v>
      </c>
      <c r="B355" s="476" t="s">
        <v>276</v>
      </c>
      <c r="C355" s="280" t="s">
        <v>309</v>
      </c>
      <c r="D355" s="479">
        <v>6.84</v>
      </c>
    </row>
    <row r="356" spans="1:4" s="264" customFormat="1" ht="12.75">
      <c r="A356" s="280">
        <v>313</v>
      </c>
      <c r="B356" s="476" t="s">
        <v>277</v>
      </c>
      <c r="C356" s="280" t="s">
        <v>309</v>
      </c>
      <c r="D356" s="479">
        <v>1.92</v>
      </c>
    </row>
    <row r="357" spans="1:4" s="264" customFormat="1" ht="12.75">
      <c r="A357" s="280">
        <v>314</v>
      </c>
      <c r="B357" s="476" t="s">
        <v>278</v>
      </c>
      <c r="C357" s="280" t="s">
        <v>309</v>
      </c>
      <c r="D357" s="479">
        <v>2.76</v>
      </c>
    </row>
    <row r="358" spans="1:4" s="264" customFormat="1" ht="12.75">
      <c r="A358" s="280">
        <v>315</v>
      </c>
      <c r="B358" s="476" t="s">
        <v>279</v>
      </c>
      <c r="C358" s="280" t="s">
        <v>309</v>
      </c>
      <c r="D358" s="479">
        <v>11.04</v>
      </c>
    </row>
    <row r="359" spans="1:4" s="264" customFormat="1" ht="12.75">
      <c r="A359" s="280">
        <v>316</v>
      </c>
      <c r="B359" s="476" t="s">
        <v>280</v>
      </c>
      <c r="C359" s="280" t="s">
        <v>309</v>
      </c>
      <c r="D359" s="479">
        <v>45.959999999999994</v>
      </c>
    </row>
    <row r="360" spans="1:4" s="264" customFormat="1" ht="12.75">
      <c r="A360" s="280">
        <v>317</v>
      </c>
      <c r="B360" s="476" t="s">
        <v>281</v>
      </c>
      <c r="C360" s="280" t="s">
        <v>309</v>
      </c>
      <c r="D360" s="479">
        <v>114.84</v>
      </c>
    </row>
    <row r="361" spans="1:4" s="264" customFormat="1" ht="12.75">
      <c r="A361" s="280">
        <v>318</v>
      </c>
      <c r="B361" s="476" t="s">
        <v>282</v>
      </c>
      <c r="C361" s="280" t="s">
        <v>309</v>
      </c>
      <c r="D361" s="479">
        <v>35.04</v>
      </c>
    </row>
    <row r="362" spans="1:4" s="264" customFormat="1" ht="12.75">
      <c r="A362" s="280">
        <v>319</v>
      </c>
      <c r="B362" s="476" t="s">
        <v>283</v>
      </c>
      <c r="C362" s="280" t="s">
        <v>309</v>
      </c>
      <c r="D362" s="479">
        <v>30.599999999999998</v>
      </c>
    </row>
    <row r="363" spans="1:4" s="264" customFormat="1" ht="12.75">
      <c r="A363" s="280">
        <v>320</v>
      </c>
      <c r="B363" s="476" t="s">
        <v>284</v>
      </c>
      <c r="C363" s="280" t="s">
        <v>309</v>
      </c>
      <c r="D363" s="479">
        <v>3.36</v>
      </c>
    </row>
    <row r="364" spans="1:4" s="264" customFormat="1" ht="12.75">
      <c r="A364" s="280">
        <v>321</v>
      </c>
      <c r="B364" s="476" t="s">
        <v>285</v>
      </c>
      <c r="C364" s="280" t="s">
        <v>309</v>
      </c>
      <c r="D364" s="479">
        <v>1.56</v>
      </c>
    </row>
    <row r="365" spans="1:4" s="264" customFormat="1" ht="12.75">
      <c r="A365" s="280">
        <v>322</v>
      </c>
      <c r="B365" s="476" t="s">
        <v>286</v>
      </c>
      <c r="C365" s="280" t="s">
        <v>309</v>
      </c>
      <c r="D365" s="479">
        <v>6.84</v>
      </c>
    </row>
    <row r="366" spans="1:4" s="264" customFormat="1" ht="12.75">
      <c r="A366" s="280">
        <v>323</v>
      </c>
      <c r="B366" s="476" t="s">
        <v>287</v>
      </c>
      <c r="C366" s="280" t="s">
        <v>309</v>
      </c>
      <c r="D366" s="479">
        <v>0.96</v>
      </c>
    </row>
    <row r="367" spans="1:4" s="264" customFormat="1" ht="12.75">
      <c r="A367" s="280">
        <v>324</v>
      </c>
      <c r="B367" s="476" t="s">
        <v>288</v>
      </c>
      <c r="C367" s="280" t="s">
        <v>309</v>
      </c>
      <c r="D367" s="479">
        <v>3.12</v>
      </c>
    </row>
    <row r="368" spans="1:4" s="264" customFormat="1" ht="12.75">
      <c r="A368" s="280">
        <v>325</v>
      </c>
      <c r="B368" s="476" t="s">
        <v>289</v>
      </c>
      <c r="C368" s="280" t="s">
        <v>3</v>
      </c>
      <c r="D368" s="479">
        <v>1</v>
      </c>
    </row>
    <row r="369" spans="1:4" s="264" customFormat="1" ht="25.5">
      <c r="A369" s="280">
        <v>326</v>
      </c>
      <c r="B369" s="477" t="s">
        <v>1294</v>
      </c>
      <c r="C369" s="280" t="s">
        <v>51</v>
      </c>
      <c r="D369" s="479">
        <v>250</v>
      </c>
    </row>
    <row r="370" spans="1:4" s="264" customFormat="1" ht="12.75">
      <c r="A370" s="280">
        <v>327</v>
      </c>
      <c r="B370" s="377" t="s">
        <v>1291</v>
      </c>
      <c r="C370" s="280" t="s">
        <v>51</v>
      </c>
      <c r="D370" s="280">
        <v>30</v>
      </c>
    </row>
    <row r="371" spans="1:4" s="264" customFormat="1" ht="25.5">
      <c r="A371" s="280">
        <v>328</v>
      </c>
      <c r="B371" s="477" t="s">
        <v>1292</v>
      </c>
      <c r="C371" s="280" t="s">
        <v>3</v>
      </c>
      <c r="D371" s="280">
        <v>1</v>
      </c>
    </row>
    <row r="372" spans="1:4" s="264" customFormat="1" ht="25.5">
      <c r="A372" s="280">
        <v>329</v>
      </c>
      <c r="B372" s="477" t="s">
        <v>1293</v>
      </c>
      <c r="C372" s="280" t="s">
        <v>3</v>
      </c>
      <c r="D372" s="280">
        <v>1</v>
      </c>
    </row>
    <row r="373" spans="1:4" s="264" customFormat="1" ht="12.75">
      <c r="A373" s="280">
        <v>330</v>
      </c>
      <c r="B373" s="476" t="s">
        <v>290</v>
      </c>
      <c r="C373" s="280" t="s">
        <v>3</v>
      </c>
      <c r="D373" s="280">
        <v>1</v>
      </c>
    </row>
    <row r="374" spans="1:4" s="264" customFormat="1" ht="12.75">
      <c r="A374" s="280">
        <v>331</v>
      </c>
      <c r="B374" s="476" t="s">
        <v>291</v>
      </c>
      <c r="C374" s="280" t="s">
        <v>3</v>
      </c>
      <c r="D374" s="267">
        <v>1</v>
      </c>
    </row>
    <row r="375" spans="1:4" s="264" customFormat="1" ht="12.75">
      <c r="A375" s="280">
        <v>332</v>
      </c>
      <c r="B375" s="536" t="s">
        <v>292</v>
      </c>
      <c r="C375" s="280" t="s">
        <v>15</v>
      </c>
      <c r="D375" s="267">
        <v>11</v>
      </c>
    </row>
    <row r="376" spans="1:4" s="264" customFormat="1" ht="12.75">
      <c r="A376" s="280">
        <v>333</v>
      </c>
      <c r="B376" s="476" t="s">
        <v>293</v>
      </c>
      <c r="C376" s="280" t="s">
        <v>15</v>
      </c>
      <c r="D376" s="267">
        <v>6</v>
      </c>
    </row>
    <row r="377" spans="1:4" s="264" customFormat="1" ht="12.75">
      <c r="A377" s="280">
        <v>334</v>
      </c>
      <c r="B377" s="476" t="s">
        <v>294</v>
      </c>
      <c r="C377" s="280" t="s">
        <v>15</v>
      </c>
      <c r="D377" s="267">
        <v>4</v>
      </c>
    </row>
    <row r="378" spans="1:4" s="264" customFormat="1" ht="12.75">
      <c r="A378" s="280">
        <v>335</v>
      </c>
      <c r="B378" s="476" t="s">
        <v>295</v>
      </c>
      <c r="C378" s="280" t="s">
        <v>3</v>
      </c>
      <c r="D378" s="267">
        <v>1</v>
      </c>
    </row>
    <row r="379" spans="1:4" s="264" customFormat="1" ht="12.75">
      <c r="A379" s="280">
        <v>336</v>
      </c>
      <c r="B379" s="476" t="s">
        <v>296</v>
      </c>
      <c r="C379" s="280" t="s">
        <v>3</v>
      </c>
      <c r="D379" s="270">
        <v>1</v>
      </c>
    </row>
    <row r="380" spans="1:4" s="387" customFormat="1" ht="12.75">
      <c r="A380" s="280">
        <v>337</v>
      </c>
      <c r="B380" s="476" t="s">
        <v>663</v>
      </c>
      <c r="C380" s="267" t="s">
        <v>3</v>
      </c>
      <c r="D380" s="267">
        <v>1</v>
      </c>
    </row>
    <row r="381" spans="1:4" s="387" customFormat="1" ht="12.75">
      <c r="A381" s="280">
        <v>338</v>
      </c>
      <c r="B381" s="490" t="s">
        <v>406</v>
      </c>
      <c r="C381" s="267" t="s">
        <v>3</v>
      </c>
      <c r="D381" s="267">
        <v>1</v>
      </c>
    </row>
    <row r="382" spans="1:4" s="264" customFormat="1" ht="12.75">
      <c r="A382" s="273" t="s">
        <v>0</v>
      </c>
      <c r="B382" s="348" t="s">
        <v>1</v>
      </c>
      <c r="C382" s="349"/>
      <c r="D382" s="350"/>
    </row>
    <row r="383" spans="1:4" s="264" customFormat="1" ht="140.25">
      <c r="A383" s="273"/>
      <c r="B383" s="269" t="s">
        <v>1454</v>
      </c>
      <c r="C383" s="349" t="s">
        <v>2</v>
      </c>
      <c r="D383" s="350">
        <v>1</v>
      </c>
    </row>
    <row r="384" spans="1:4" ht="15">
      <c r="A384" s="284"/>
      <c r="B384" s="541" t="s">
        <v>13</v>
      </c>
      <c r="C384" s="542"/>
      <c r="D384" s="285"/>
    </row>
    <row r="385" spans="2:4" ht="15">
      <c r="B385" s="254"/>
      <c r="C385" s="254"/>
      <c r="D385" s="254"/>
    </row>
    <row r="386" spans="1:4" s="264" customFormat="1" ht="12.75">
      <c r="A386" s="287" t="s">
        <v>14</v>
      </c>
      <c r="B386" s="288"/>
      <c r="C386" s="286"/>
      <c r="D386" s="286"/>
    </row>
    <row r="387" spans="1:4" s="264" customFormat="1" ht="12.75">
      <c r="A387" s="289"/>
      <c r="B387" s="290" t="s">
        <v>4</v>
      </c>
      <c r="C387" s="286"/>
      <c r="D387" s="286"/>
    </row>
    <row r="388" spans="1:4" s="264" customFormat="1" ht="12.75">
      <c r="A388" s="289"/>
      <c r="B388" s="291"/>
      <c r="C388" s="286"/>
      <c r="D388" s="286"/>
    </row>
    <row r="389" spans="1:4" s="264" customFormat="1" ht="12.75">
      <c r="A389" s="287" t="s">
        <v>6</v>
      </c>
      <c r="B389" s="288"/>
      <c r="C389" s="286"/>
      <c r="D389" s="286"/>
    </row>
    <row r="390" spans="1:4" s="264" customFormat="1" ht="12.75">
      <c r="A390" s="289"/>
      <c r="B390" s="290" t="s">
        <v>4</v>
      </c>
      <c r="C390" s="286"/>
      <c r="D390" s="286"/>
    </row>
    <row r="391" spans="1:4" s="264" customFormat="1" ht="12.75">
      <c r="A391" s="289" t="s">
        <v>5</v>
      </c>
      <c r="B391" s="351"/>
      <c r="C391" s="286"/>
      <c r="D391" s="286"/>
    </row>
  </sheetData>
  <sheetProtection/>
  <mergeCells count="10">
    <mergeCell ref="A6:D6"/>
    <mergeCell ref="A7:D7"/>
    <mergeCell ref="B384:C384"/>
    <mergeCell ref="C10:D10"/>
    <mergeCell ref="A1:D1"/>
    <mergeCell ref="A2:D2"/>
    <mergeCell ref="A3:D3"/>
    <mergeCell ref="A9:D9"/>
    <mergeCell ref="A10:B10"/>
    <mergeCell ref="A5:D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D55"/>
  <sheetViews>
    <sheetView showZeros="0" view="pageBreakPreview" zoomScale="145" zoomScaleSheetLayoutView="145" zoomScalePageLayoutView="0" workbookViewId="0" topLeftCell="A19">
      <selection activeCell="B15" sqref="B15"/>
    </sheetView>
  </sheetViews>
  <sheetFormatPr defaultColWidth="11.421875" defaultRowHeight="15"/>
  <cols>
    <col min="1" max="1" width="7.7109375" style="286" customWidth="1"/>
    <col min="2" max="2" width="50.421875" style="286" customWidth="1"/>
    <col min="3" max="3" width="11.00390625" style="286" customWidth="1"/>
    <col min="4" max="4" width="11.140625" style="293" customWidth="1"/>
    <col min="5" max="16384" width="11.421875" style="254" customWidth="1"/>
  </cols>
  <sheetData>
    <row r="1" spans="1:4" ht="15.75">
      <c r="A1" s="544" t="s">
        <v>1509</v>
      </c>
      <c r="B1" s="544"/>
      <c r="C1" s="544"/>
      <c r="D1" s="544"/>
    </row>
    <row r="2" spans="1:4" ht="15">
      <c r="A2" s="545" t="s">
        <v>1510</v>
      </c>
      <c r="B2" s="545"/>
      <c r="C2" s="545"/>
      <c r="D2" s="545"/>
    </row>
    <row r="3" spans="1:4" ht="15">
      <c r="A3" s="546" t="s">
        <v>1452</v>
      </c>
      <c r="B3" s="546"/>
      <c r="C3" s="546"/>
      <c r="D3" s="546"/>
    </row>
    <row r="4" spans="1:4" ht="15">
      <c r="A4" s="255"/>
      <c r="B4" s="255"/>
      <c r="C4" s="255"/>
      <c r="D4" s="255"/>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
      <c r="A9" s="553"/>
      <c r="B9" s="553"/>
      <c r="C9" s="552"/>
      <c r="D9" s="552"/>
    </row>
    <row r="10" spans="1:4" ht="15">
      <c r="A10" s="550" t="s">
        <v>1511</v>
      </c>
      <c r="B10" s="550"/>
      <c r="C10" s="256"/>
      <c r="D10" s="256"/>
    </row>
    <row r="11" spans="1:4" ht="15">
      <c r="A11" s="307"/>
      <c r="B11" s="307"/>
      <c r="C11" s="307"/>
      <c r="D11" s="307"/>
    </row>
    <row r="12" spans="1:4" ht="42.75" customHeight="1">
      <c r="A12" s="309" t="s">
        <v>886</v>
      </c>
      <c r="B12" s="299" t="s">
        <v>1455</v>
      </c>
      <c r="C12" s="309" t="s">
        <v>1464</v>
      </c>
      <c r="D12" s="299" t="s">
        <v>1465</v>
      </c>
    </row>
    <row r="13" spans="1:4" ht="15">
      <c r="A13" s="260">
        <v>1</v>
      </c>
      <c r="B13" s="260">
        <v>2</v>
      </c>
      <c r="C13" s="260">
        <v>3</v>
      </c>
      <c r="D13" s="260">
        <v>4</v>
      </c>
    </row>
    <row r="14" spans="1:4" s="264" customFormat="1" ht="12.75">
      <c r="A14" s="280"/>
      <c r="B14" s="482" t="s">
        <v>407</v>
      </c>
      <c r="C14" s="267"/>
      <c r="D14" s="267"/>
    </row>
    <row r="15" spans="1:4" s="264" customFormat="1" ht="12.75">
      <c r="A15" s="280">
        <v>1</v>
      </c>
      <c r="B15" s="476" t="s">
        <v>297</v>
      </c>
      <c r="C15" s="267" t="s">
        <v>309</v>
      </c>
      <c r="D15" s="267">
        <v>30</v>
      </c>
    </row>
    <row r="16" spans="1:4" s="264" customFormat="1" ht="12.75">
      <c r="A16" s="280">
        <v>2</v>
      </c>
      <c r="B16" s="476" t="s">
        <v>298</v>
      </c>
      <c r="C16" s="270" t="s">
        <v>12</v>
      </c>
      <c r="D16" s="479">
        <v>51</v>
      </c>
    </row>
    <row r="17" spans="1:4" s="264" customFormat="1" ht="12.75">
      <c r="A17" s="280">
        <v>3</v>
      </c>
      <c r="B17" s="476" t="s">
        <v>299</v>
      </c>
      <c r="C17" s="270" t="s">
        <v>12</v>
      </c>
      <c r="D17" s="479">
        <v>60</v>
      </c>
    </row>
    <row r="18" spans="1:4" s="264" customFormat="1" ht="12.75">
      <c r="A18" s="280">
        <v>4</v>
      </c>
      <c r="B18" s="476" t="s">
        <v>300</v>
      </c>
      <c r="C18" s="270" t="s">
        <v>12</v>
      </c>
      <c r="D18" s="479">
        <v>175</v>
      </c>
    </row>
    <row r="19" spans="1:4" s="264" customFormat="1" ht="12.75">
      <c r="A19" s="280">
        <v>5</v>
      </c>
      <c r="B19" s="476" t="s">
        <v>301</v>
      </c>
      <c r="C19" s="270" t="s">
        <v>12</v>
      </c>
      <c r="D19" s="479">
        <v>70</v>
      </c>
    </row>
    <row r="20" spans="1:4" s="264" customFormat="1" ht="12.75">
      <c r="A20" s="280">
        <v>6</v>
      </c>
      <c r="B20" s="476" t="s">
        <v>302</v>
      </c>
      <c r="C20" s="270" t="s">
        <v>12</v>
      </c>
      <c r="D20" s="479">
        <v>100</v>
      </c>
    </row>
    <row r="21" spans="1:4" s="264" customFormat="1" ht="12.75">
      <c r="A21" s="280">
        <v>7</v>
      </c>
      <c r="B21" s="476" t="s">
        <v>303</v>
      </c>
      <c r="C21" s="270" t="s">
        <v>12</v>
      </c>
      <c r="D21" s="479">
        <v>110</v>
      </c>
    </row>
    <row r="22" spans="1:4" s="264" customFormat="1" ht="12.75">
      <c r="A22" s="280">
        <v>8</v>
      </c>
      <c r="B22" s="476" t="s">
        <v>304</v>
      </c>
      <c r="C22" s="270" t="s">
        <v>12</v>
      </c>
      <c r="D22" s="479">
        <v>80</v>
      </c>
    </row>
    <row r="23" spans="1:4" s="264" customFormat="1" ht="25.5">
      <c r="A23" s="280">
        <v>9</v>
      </c>
      <c r="B23" s="477" t="s">
        <v>308</v>
      </c>
      <c r="C23" s="481" t="s">
        <v>3</v>
      </c>
      <c r="D23" s="481">
        <v>1</v>
      </c>
    </row>
    <row r="24" spans="1:4" s="264" customFormat="1" ht="12.75">
      <c r="A24" s="280">
        <v>10</v>
      </c>
      <c r="B24" s="476" t="s">
        <v>1557</v>
      </c>
      <c r="C24" s="479" t="s">
        <v>309</v>
      </c>
      <c r="D24" s="267">
        <v>30</v>
      </c>
    </row>
    <row r="25" spans="1:4" s="264" customFormat="1" ht="12.75">
      <c r="A25" s="280">
        <v>11</v>
      </c>
      <c r="B25" s="476" t="s">
        <v>1558</v>
      </c>
      <c r="C25" s="481" t="s">
        <v>309</v>
      </c>
      <c r="D25" s="479">
        <v>51</v>
      </c>
    </row>
    <row r="26" spans="1:4" s="264" customFormat="1" ht="12.75">
      <c r="A26" s="280">
        <v>12</v>
      </c>
      <c r="B26" s="476" t="s">
        <v>1559</v>
      </c>
      <c r="C26" s="481" t="s">
        <v>309</v>
      </c>
      <c r="D26" s="479">
        <v>60</v>
      </c>
    </row>
    <row r="27" spans="1:4" s="264" customFormat="1" ht="12.75">
      <c r="A27" s="280">
        <v>13</v>
      </c>
      <c r="B27" s="476" t="s">
        <v>1560</v>
      </c>
      <c r="C27" s="481" t="s">
        <v>309</v>
      </c>
      <c r="D27" s="479">
        <v>175</v>
      </c>
    </row>
    <row r="28" spans="1:4" s="264" customFormat="1" ht="12.75">
      <c r="A28" s="280">
        <v>14</v>
      </c>
      <c r="B28" s="476" t="s">
        <v>1561</v>
      </c>
      <c r="C28" s="481" t="s">
        <v>309</v>
      </c>
      <c r="D28" s="479">
        <v>70</v>
      </c>
    </row>
    <row r="29" spans="1:4" s="264" customFormat="1" ht="12.75">
      <c r="A29" s="280">
        <v>15</v>
      </c>
      <c r="B29" s="476" t="s">
        <v>1562</v>
      </c>
      <c r="C29" s="481" t="s">
        <v>309</v>
      </c>
      <c r="D29" s="479">
        <v>100</v>
      </c>
    </row>
    <row r="30" spans="1:4" s="264" customFormat="1" ht="12.75">
      <c r="A30" s="280">
        <v>16</v>
      </c>
      <c r="B30" s="476" t="s">
        <v>1563</v>
      </c>
      <c r="C30" s="481" t="s">
        <v>309</v>
      </c>
      <c r="D30" s="479">
        <v>110</v>
      </c>
    </row>
    <row r="31" spans="1:4" s="264" customFormat="1" ht="12.75">
      <c r="A31" s="280">
        <v>17</v>
      </c>
      <c r="B31" s="476" t="s">
        <v>1564</v>
      </c>
      <c r="C31" s="481" t="s">
        <v>309</v>
      </c>
      <c r="D31" s="479">
        <v>80</v>
      </c>
    </row>
    <row r="32" spans="1:4" s="264" customFormat="1" ht="12.75">
      <c r="A32" s="280">
        <v>18</v>
      </c>
      <c r="B32" s="476" t="s">
        <v>305</v>
      </c>
      <c r="C32" s="280" t="s">
        <v>15</v>
      </c>
      <c r="D32" s="267">
        <v>24</v>
      </c>
    </row>
    <row r="33" spans="1:4" s="264" customFormat="1" ht="12.75">
      <c r="A33" s="280">
        <v>19</v>
      </c>
      <c r="B33" s="476" t="s">
        <v>306</v>
      </c>
      <c r="C33" s="280" t="s">
        <v>15</v>
      </c>
      <c r="D33" s="267">
        <v>24</v>
      </c>
    </row>
    <row r="34" spans="1:4" s="264" customFormat="1" ht="12.75">
      <c r="A34" s="280">
        <v>20</v>
      </c>
      <c r="B34" s="476" t="s">
        <v>307</v>
      </c>
      <c r="C34" s="280" t="s">
        <v>3</v>
      </c>
      <c r="D34" s="267">
        <v>1</v>
      </c>
    </row>
    <row r="35" spans="1:4" s="492" customFormat="1" ht="25.5">
      <c r="A35" s="280">
        <v>21</v>
      </c>
      <c r="B35" s="491" t="s">
        <v>730</v>
      </c>
      <c r="C35" s="280" t="s">
        <v>3</v>
      </c>
      <c r="D35" s="481">
        <v>1</v>
      </c>
    </row>
    <row r="36" spans="1:4" s="264" customFormat="1" ht="12.75">
      <c r="A36" s="280">
        <v>22</v>
      </c>
      <c r="B36" s="476" t="s">
        <v>405</v>
      </c>
      <c r="C36" s="493" t="s">
        <v>75</v>
      </c>
      <c r="D36" s="493">
        <v>900</v>
      </c>
    </row>
    <row r="37" spans="1:4" s="264" customFormat="1" ht="12.75">
      <c r="A37" s="280">
        <v>23</v>
      </c>
      <c r="B37" s="476" t="s">
        <v>1298</v>
      </c>
      <c r="C37" s="479" t="s">
        <v>15</v>
      </c>
      <c r="D37" s="479">
        <v>2</v>
      </c>
    </row>
    <row r="38" spans="1:4" s="264" customFormat="1" ht="12.75">
      <c r="A38" s="280">
        <v>24</v>
      </c>
      <c r="B38" s="476" t="s">
        <v>1299</v>
      </c>
      <c r="C38" s="479" t="s">
        <v>15</v>
      </c>
      <c r="D38" s="479">
        <v>3</v>
      </c>
    </row>
    <row r="39" spans="1:4" s="264" customFormat="1" ht="12.75">
      <c r="A39" s="280">
        <v>25</v>
      </c>
      <c r="B39" s="476" t="s">
        <v>1300</v>
      </c>
      <c r="C39" s="479" t="s">
        <v>15</v>
      </c>
      <c r="D39" s="479">
        <v>1</v>
      </c>
    </row>
    <row r="40" spans="1:4" s="264" customFormat="1" ht="12.75">
      <c r="A40" s="280">
        <v>26</v>
      </c>
      <c r="B40" s="476" t="s">
        <v>1301</v>
      </c>
      <c r="C40" s="479" t="s">
        <v>15</v>
      </c>
      <c r="D40" s="479">
        <v>5</v>
      </c>
    </row>
    <row r="41" spans="1:4" s="264" customFormat="1" ht="12.75">
      <c r="A41" s="280">
        <v>27</v>
      </c>
      <c r="B41" s="476" t="s">
        <v>1302</v>
      </c>
      <c r="C41" s="479" t="s">
        <v>15</v>
      </c>
      <c r="D41" s="479">
        <v>2</v>
      </c>
    </row>
    <row r="42" spans="1:4" s="264" customFormat="1" ht="12.75">
      <c r="A42" s="280">
        <v>28</v>
      </c>
      <c r="B42" s="476" t="s">
        <v>1303</v>
      </c>
      <c r="C42" s="479" t="s">
        <v>15</v>
      </c>
      <c r="D42" s="479">
        <v>3</v>
      </c>
    </row>
    <row r="43" spans="1:4" s="264" customFormat="1" ht="12.75">
      <c r="A43" s="280">
        <v>29</v>
      </c>
      <c r="B43" s="476" t="s">
        <v>1304</v>
      </c>
      <c r="C43" s="479" t="s">
        <v>15</v>
      </c>
      <c r="D43" s="479">
        <v>1</v>
      </c>
    </row>
    <row r="44" spans="1:4" s="264" customFormat="1" ht="12.75">
      <c r="A44" s="280">
        <v>30</v>
      </c>
      <c r="B44" s="476" t="s">
        <v>1305</v>
      </c>
      <c r="C44" s="479" t="s">
        <v>15</v>
      </c>
      <c r="D44" s="479">
        <v>5</v>
      </c>
    </row>
    <row r="45" spans="1:4" s="264" customFormat="1" ht="12.75">
      <c r="A45" s="280">
        <v>31</v>
      </c>
      <c r="B45" s="494" t="s">
        <v>406</v>
      </c>
      <c r="C45" s="495" t="s">
        <v>3</v>
      </c>
      <c r="D45" s="496">
        <v>1</v>
      </c>
    </row>
    <row r="46" spans="1:4" s="264" customFormat="1" ht="12.75">
      <c r="A46" s="273" t="s">
        <v>0</v>
      </c>
      <c r="B46" s="348" t="s">
        <v>1</v>
      </c>
      <c r="C46" s="349"/>
      <c r="D46" s="350"/>
    </row>
    <row r="47" spans="1:4" s="264" customFormat="1" ht="153">
      <c r="A47" s="273"/>
      <c r="B47" s="269" t="s">
        <v>1469</v>
      </c>
      <c r="C47" s="349" t="s">
        <v>2</v>
      </c>
      <c r="D47" s="350">
        <v>1</v>
      </c>
    </row>
    <row r="48" spans="1:4" ht="15">
      <c r="A48" s="284"/>
      <c r="B48" s="541" t="s">
        <v>13</v>
      </c>
      <c r="C48" s="542"/>
      <c r="D48" s="285"/>
    </row>
    <row r="49" spans="2:4" ht="15">
      <c r="B49" s="254"/>
      <c r="C49" s="254"/>
      <c r="D49" s="254"/>
    </row>
    <row r="50" spans="1:4" s="264" customFormat="1" ht="12.75">
      <c r="A50" s="287" t="s">
        <v>14</v>
      </c>
      <c r="B50" s="288"/>
      <c r="C50" s="286"/>
      <c r="D50" s="286"/>
    </row>
    <row r="51" spans="1:4" s="264" customFormat="1" ht="12.75">
      <c r="A51" s="289"/>
      <c r="B51" s="290" t="s">
        <v>4</v>
      </c>
      <c r="C51" s="286"/>
      <c r="D51" s="286"/>
    </row>
    <row r="52" spans="1:4" s="264" customFormat="1" ht="12.75">
      <c r="A52" s="289"/>
      <c r="B52" s="291"/>
      <c r="C52" s="286"/>
      <c r="D52" s="286"/>
    </row>
    <row r="53" spans="1:4" s="264" customFormat="1" ht="12.75">
      <c r="A53" s="287" t="s">
        <v>6</v>
      </c>
      <c r="B53" s="288"/>
      <c r="C53" s="286"/>
      <c r="D53" s="286"/>
    </row>
    <row r="54" spans="1:4" s="264" customFormat="1" ht="12.75">
      <c r="A54" s="289"/>
      <c r="B54" s="290" t="s">
        <v>4</v>
      </c>
      <c r="C54" s="286"/>
      <c r="D54" s="286"/>
    </row>
    <row r="55" spans="1:4" s="264" customFormat="1" ht="12.75">
      <c r="A55" s="289" t="s">
        <v>5</v>
      </c>
      <c r="B55" s="351"/>
      <c r="C55" s="286"/>
      <c r="D55" s="286"/>
    </row>
  </sheetData>
  <sheetProtection/>
  <mergeCells count="10">
    <mergeCell ref="A6:D6"/>
    <mergeCell ref="A7:D7"/>
    <mergeCell ref="A10:B10"/>
    <mergeCell ref="B48:C48"/>
    <mergeCell ref="C9:D9"/>
    <mergeCell ref="A1:D1"/>
    <mergeCell ref="A2:D2"/>
    <mergeCell ref="A3:D3"/>
    <mergeCell ref="A9:B9"/>
    <mergeCell ref="A5:D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0000"/>
  </sheetPr>
  <dimension ref="A1:D94"/>
  <sheetViews>
    <sheetView showZeros="0" view="pageBreakPreview" zoomScale="145" zoomScaleSheetLayoutView="145" zoomScalePageLayoutView="0" workbookViewId="0" topLeftCell="A70">
      <selection activeCell="B70" sqref="B70"/>
    </sheetView>
  </sheetViews>
  <sheetFormatPr defaultColWidth="11.421875" defaultRowHeight="15"/>
  <cols>
    <col min="1" max="1" width="6.28125" style="286" customWidth="1"/>
    <col min="2" max="2" width="51.57421875" style="286" customWidth="1"/>
    <col min="3" max="3" width="11.8515625" style="286" customWidth="1"/>
    <col min="4" max="4" width="10.57421875" style="293" customWidth="1"/>
    <col min="5" max="5" width="10.140625" style="254" customWidth="1"/>
    <col min="6" max="16384" width="11.421875" style="254" customWidth="1"/>
  </cols>
  <sheetData>
    <row r="1" spans="1:4" ht="15.75">
      <c r="A1" s="544" t="s">
        <v>1512</v>
      </c>
      <c r="B1" s="544"/>
      <c r="C1" s="544"/>
      <c r="D1" s="544"/>
    </row>
    <row r="2" spans="1:4" ht="15">
      <c r="A2" s="545" t="s">
        <v>890</v>
      </c>
      <c r="B2" s="545"/>
      <c r="C2" s="545"/>
      <c r="D2" s="545"/>
    </row>
    <row r="3" spans="1:4" ht="15">
      <c r="A3" s="546" t="s">
        <v>1452</v>
      </c>
      <c r="B3" s="546"/>
      <c r="C3" s="546"/>
      <c r="D3" s="546"/>
    </row>
    <row r="4" spans="1:4" ht="15">
      <c r="A4" s="295"/>
      <c r="B4" s="295"/>
      <c r="C4" s="295"/>
      <c r="D4" s="295"/>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
      <c r="A9" s="548"/>
      <c r="B9" s="548"/>
      <c r="C9" s="548"/>
      <c r="D9" s="548"/>
    </row>
    <row r="10" spans="1:4" ht="15">
      <c r="A10" s="550" t="s">
        <v>1513</v>
      </c>
      <c r="B10" s="550"/>
      <c r="C10" s="307"/>
      <c r="D10" s="307"/>
    </row>
    <row r="11" spans="1:4" ht="15">
      <c r="A11" s="308"/>
      <c r="B11" s="307"/>
      <c r="C11" s="307"/>
      <c r="D11" s="307"/>
    </row>
    <row r="12" spans="1:4" ht="44.25" customHeight="1">
      <c r="A12" s="309" t="s">
        <v>886</v>
      </c>
      <c r="B12" s="299" t="s">
        <v>1455</v>
      </c>
      <c r="C12" s="309" t="s">
        <v>1464</v>
      </c>
      <c r="D12" s="299" t="s">
        <v>1465</v>
      </c>
    </row>
    <row r="13" spans="1:4" ht="15">
      <c r="A13" s="260">
        <v>1</v>
      </c>
      <c r="B13" s="260">
        <v>2</v>
      </c>
      <c r="C13" s="260">
        <v>3</v>
      </c>
      <c r="D13" s="260">
        <v>4</v>
      </c>
    </row>
    <row r="14" spans="1:4" s="264" customFormat="1" ht="12.75">
      <c r="A14" s="280"/>
      <c r="B14" s="489" t="s">
        <v>732</v>
      </c>
      <c r="C14" s="497"/>
      <c r="D14" s="497"/>
    </row>
    <row r="15" spans="1:4" s="264" customFormat="1" ht="38.25">
      <c r="A15" s="280">
        <v>1</v>
      </c>
      <c r="B15" s="475" t="s">
        <v>775</v>
      </c>
      <c r="C15" s="280" t="s">
        <v>15</v>
      </c>
      <c r="D15" s="481">
        <v>42</v>
      </c>
    </row>
    <row r="16" spans="1:4" s="264" customFormat="1" ht="38.25">
      <c r="A16" s="280">
        <v>2</v>
      </c>
      <c r="B16" s="475" t="s">
        <v>1565</v>
      </c>
      <c r="C16" s="280" t="s">
        <v>15</v>
      </c>
      <c r="D16" s="481">
        <v>9</v>
      </c>
    </row>
    <row r="17" spans="1:4" s="264" customFormat="1" ht="38.25">
      <c r="A17" s="280">
        <v>3</v>
      </c>
      <c r="B17" s="475" t="s">
        <v>1566</v>
      </c>
      <c r="C17" s="280" t="s">
        <v>15</v>
      </c>
      <c r="D17" s="481">
        <v>17</v>
      </c>
    </row>
    <row r="18" spans="1:4" s="264" customFormat="1" ht="38.25">
      <c r="A18" s="280">
        <v>4</v>
      </c>
      <c r="B18" s="475" t="s">
        <v>1567</v>
      </c>
      <c r="C18" s="280" t="s">
        <v>15</v>
      </c>
      <c r="D18" s="481">
        <v>2</v>
      </c>
    </row>
    <row r="19" spans="1:4" s="264" customFormat="1" ht="38.25">
      <c r="A19" s="280">
        <v>5</v>
      </c>
      <c r="B19" s="475" t="s">
        <v>1568</v>
      </c>
      <c r="C19" s="280" t="s">
        <v>15</v>
      </c>
      <c r="D19" s="481">
        <v>42</v>
      </c>
    </row>
    <row r="20" spans="1:4" s="264" customFormat="1" ht="38.25">
      <c r="A20" s="280">
        <v>6</v>
      </c>
      <c r="B20" s="475" t="s">
        <v>1569</v>
      </c>
      <c r="C20" s="280" t="s">
        <v>15</v>
      </c>
      <c r="D20" s="481">
        <v>6</v>
      </c>
    </row>
    <row r="21" spans="1:4" s="264" customFormat="1" ht="38.25">
      <c r="A21" s="280">
        <v>7</v>
      </c>
      <c r="B21" s="475" t="s">
        <v>1570</v>
      </c>
      <c r="C21" s="280" t="s">
        <v>15</v>
      </c>
      <c r="D21" s="481">
        <v>6</v>
      </c>
    </row>
    <row r="22" spans="1:4" s="264" customFormat="1" ht="38.25">
      <c r="A22" s="280">
        <v>8</v>
      </c>
      <c r="B22" s="475" t="s">
        <v>1571</v>
      </c>
      <c r="C22" s="280" t="s">
        <v>15</v>
      </c>
      <c r="D22" s="481">
        <v>1</v>
      </c>
    </row>
    <row r="23" spans="1:4" s="264" customFormat="1" ht="41.25" customHeight="1">
      <c r="A23" s="280">
        <v>9</v>
      </c>
      <c r="B23" s="475" t="s">
        <v>1572</v>
      </c>
      <c r="C23" s="280" t="s">
        <v>15</v>
      </c>
      <c r="D23" s="481">
        <v>1</v>
      </c>
    </row>
    <row r="24" spans="1:4" s="264" customFormat="1" ht="32.25" customHeight="1">
      <c r="A24" s="280">
        <v>10</v>
      </c>
      <c r="B24" s="475" t="s">
        <v>1573</v>
      </c>
      <c r="C24" s="280" t="s">
        <v>15</v>
      </c>
      <c r="D24" s="481">
        <v>1</v>
      </c>
    </row>
    <row r="25" spans="1:4" s="264" customFormat="1" ht="38.25">
      <c r="A25" s="280">
        <v>11</v>
      </c>
      <c r="B25" s="475" t="s">
        <v>1574</v>
      </c>
      <c r="C25" s="280" t="s">
        <v>15</v>
      </c>
      <c r="D25" s="481">
        <v>9</v>
      </c>
    </row>
    <row r="26" spans="1:4" s="264" customFormat="1" ht="38.25">
      <c r="A26" s="280">
        <v>12</v>
      </c>
      <c r="B26" s="475" t="s">
        <v>1575</v>
      </c>
      <c r="C26" s="280" t="s">
        <v>15</v>
      </c>
      <c r="D26" s="481">
        <v>18</v>
      </c>
    </row>
    <row r="27" spans="1:4" s="264" customFormat="1" ht="38.25">
      <c r="A27" s="280">
        <v>13</v>
      </c>
      <c r="B27" s="475" t="s">
        <v>1576</v>
      </c>
      <c r="C27" s="280" t="s">
        <v>15</v>
      </c>
      <c r="D27" s="481">
        <v>2</v>
      </c>
    </row>
    <row r="28" spans="1:4" s="264" customFormat="1" ht="39" customHeight="1">
      <c r="A28" s="280">
        <v>14</v>
      </c>
      <c r="B28" s="475" t="s">
        <v>1577</v>
      </c>
      <c r="C28" s="280" t="s">
        <v>15</v>
      </c>
      <c r="D28" s="481">
        <v>3</v>
      </c>
    </row>
    <row r="29" spans="1:4" s="264" customFormat="1" ht="39" customHeight="1">
      <c r="A29" s="280">
        <v>15</v>
      </c>
      <c r="B29" s="475" t="s">
        <v>1578</v>
      </c>
      <c r="C29" s="280" t="s">
        <v>15</v>
      </c>
      <c r="D29" s="481">
        <v>3</v>
      </c>
    </row>
    <row r="30" spans="1:4" s="264" customFormat="1" ht="39" customHeight="1">
      <c r="A30" s="280">
        <v>16</v>
      </c>
      <c r="B30" s="475" t="s">
        <v>1579</v>
      </c>
      <c r="C30" s="280" t="s">
        <v>15</v>
      </c>
      <c r="D30" s="481">
        <v>3</v>
      </c>
    </row>
    <row r="31" spans="1:4" s="264" customFormat="1" ht="38.25">
      <c r="A31" s="280">
        <v>17</v>
      </c>
      <c r="B31" s="475" t="s">
        <v>1580</v>
      </c>
      <c r="C31" s="280" t="s">
        <v>15</v>
      </c>
      <c r="D31" s="481">
        <v>5</v>
      </c>
    </row>
    <row r="32" spans="1:4" s="264" customFormat="1" ht="38.25">
      <c r="A32" s="280">
        <v>18</v>
      </c>
      <c r="B32" s="475" t="s">
        <v>1581</v>
      </c>
      <c r="C32" s="280" t="s">
        <v>15</v>
      </c>
      <c r="D32" s="481">
        <v>1</v>
      </c>
    </row>
    <row r="33" spans="1:4" s="264" customFormat="1" ht="38.25">
      <c r="A33" s="280">
        <v>19</v>
      </c>
      <c r="B33" s="475" t="s">
        <v>1582</v>
      </c>
      <c r="C33" s="280" t="s">
        <v>15</v>
      </c>
      <c r="D33" s="481">
        <v>8</v>
      </c>
    </row>
    <row r="34" spans="1:4" s="492" customFormat="1" ht="38.25">
      <c r="A34" s="280">
        <v>20</v>
      </c>
      <c r="B34" s="475" t="s">
        <v>1583</v>
      </c>
      <c r="C34" s="280" t="s">
        <v>15</v>
      </c>
      <c r="D34" s="481">
        <v>2</v>
      </c>
    </row>
    <row r="35" spans="1:4" s="264" customFormat="1" ht="38.25">
      <c r="A35" s="280">
        <v>21</v>
      </c>
      <c r="B35" s="475" t="s">
        <v>1584</v>
      </c>
      <c r="C35" s="280" t="s">
        <v>15</v>
      </c>
      <c r="D35" s="481">
        <v>7</v>
      </c>
    </row>
    <row r="36" spans="1:4" s="264" customFormat="1" ht="38.25">
      <c r="A36" s="280">
        <v>22</v>
      </c>
      <c r="B36" s="475" t="s">
        <v>1585</v>
      </c>
      <c r="C36" s="280" t="s">
        <v>15</v>
      </c>
      <c r="D36" s="481">
        <v>5</v>
      </c>
    </row>
    <row r="37" spans="1:4" s="264" customFormat="1" ht="38.25">
      <c r="A37" s="280">
        <v>23</v>
      </c>
      <c r="B37" s="475" t="s">
        <v>1586</v>
      </c>
      <c r="C37" s="280" t="s">
        <v>15</v>
      </c>
      <c r="D37" s="481">
        <v>4</v>
      </c>
    </row>
    <row r="38" spans="1:4" s="264" customFormat="1" ht="38.25">
      <c r="A38" s="280">
        <v>24</v>
      </c>
      <c r="B38" s="475" t="s">
        <v>1587</v>
      </c>
      <c r="C38" s="280" t="s">
        <v>15</v>
      </c>
      <c r="D38" s="481">
        <v>7</v>
      </c>
    </row>
    <row r="39" spans="1:4" s="264" customFormat="1" ht="38.25">
      <c r="A39" s="280">
        <v>25</v>
      </c>
      <c r="B39" s="475" t="s">
        <v>1588</v>
      </c>
      <c r="C39" s="280" t="s">
        <v>15</v>
      </c>
      <c r="D39" s="481">
        <v>13</v>
      </c>
    </row>
    <row r="40" spans="1:4" s="264" customFormat="1" ht="38.25">
      <c r="A40" s="280">
        <v>26</v>
      </c>
      <c r="B40" s="475" t="s">
        <v>1589</v>
      </c>
      <c r="C40" s="280" t="s">
        <v>15</v>
      </c>
      <c r="D40" s="481">
        <v>1</v>
      </c>
    </row>
    <row r="41" spans="1:4" s="264" customFormat="1" ht="38.25">
      <c r="A41" s="280">
        <v>27</v>
      </c>
      <c r="B41" s="475" t="s">
        <v>1590</v>
      </c>
      <c r="C41" s="280" t="s">
        <v>15</v>
      </c>
      <c r="D41" s="481">
        <v>1</v>
      </c>
    </row>
    <row r="42" spans="1:4" s="264" customFormat="1" ht="38.25">
      <c r="A42" s="280">
        <v>28</v>
      </c>
      <c r="B42" s="475" t="s">
        <v>1591</v>
      </c>
      <c r="C42" s="280" t="s">
        <v>15</v>
      </c>
      <c r="D42" s="481">
        <v>1</v>
      </c>
    </row>
    <row r="43" spans="1:4" s="264" customFormat="1" ht="38.25">
      <c r="A43" s="280">
        <v>29</v>
      </c>
      <c r="B43" s="475" t="s">
        <v>1592</v>
      </c>
      <c r="C43" s="280" t="s">
        <v>15</v>
      </c>
      <c r="D43" s="481">
        <v>1</v>
      </c>
    </row>
    <row r="44" spans="1:4" s="264" customFormat="1" ht="38.25">
      <c r="A44" s="280">
        <v>30</v>
      </c>
      <c r="B44" s="475" t="s">
        <v>1593</v>
      </c>
      <c r="C44" s="280" t="s">
        <v>15</v>
      </c>
      <c r="D44" s="481">
        <v>1</v>
      </c>
    </row>
    <row r="45" spans="1:4" s="264" customFormat="1" ht="33.75" customHeight="1">
      <c r="A45" s="280">
        <v>31</v>
      </c>
      <c r="B45" s="475" t="s">
        <v>1594</v>
      </c>
      <c r="C45" s="280" t="s">
        <v>15</v>
      </c>
      <c r="D45" s="481">
        <v>2</v>
      </c>
    </row>
    <row r="46" spans="1:4" s="264" customFormat="1" ht="39.75" customHeight="1">
      <c r="A46" s="280">
        <v>32</v>
      </c>
      <c r="B46" s="475" t="s">
        <v>1595</v>
      </c>
      <c r="C46" s="280" t="s">
        <v>15</v>
      </c>
      <c r="D46" s="481">
        <v>1</v>
      </c>
    </row>
    <row r="47" spans="1:4" s="264" customFormat="1" ht="41.25" customHeight="1">
      <c r="A47" s="280">
        <v>33</v>
      </c>
      <c r="B47" s="475" t="s">
        <v>1596</v>
      </c>
      <c r="C47" s="280" t="s">
        <v>15</v>
      </c>
      <c r="D47" s="481">
        <v>1</v>
      </c>
    </row>
    <row r="48" spans="1:4" s="264" customFormat="1" ht="33.75" customHeight="1">
      <c r="A48" s="280">
        <v>34</v>
      </c>
      <c r="B48" s="475" t="s">
        <v>1597</v>
      </c>
      <c r="C48" s="280" t="s">
        <v>15</v>
      </c>
      <c r="D48" s="481">
        <v>2</v>
      </c>
    </row>
    <row r="49" spans="1:4" s="264" customFormat="1" ht="31.5" customHeight="1">
      <c r="A49" s="280">
        <v>35</v>
      </c>
      <c r="B49" s="475" t="s">
        <v>776</v>
      </c>
      <c r="C49" s="280" t="s">
        <v>15</v>
      </c>
      <c r="D49" s="481">
        <f>SUM(D15:D48)</f>
        <v>228</v>
      </c>
    </row>
    <row r="50" spans="1:4" s="264" customFormat="1" ht="12.75">
      <c r="A50" s="280">
        <v>36</v>
      </c>
      <c r="B50" s="502" t="s">
        <v>713</v>
      </c>
      <c r="C50" s="280" t="s">
        <v>15</v>
      </c>
      <c r="D50" s="481">
        <v>227</v>
      </c>
    </row>
    <row r="51" spans="1:4" s="264" customFormat="1" ht="12.75">
      <c r="A51" s="280">
        <v>37</v>
      </c>
      <c r="B51" s="502" t="s">
        <v>714</v>
      </c>
      <c r="C51" s="280" t="s">
        <v>15</v>
      </c>
      <c r="D51" s="280">
        <v>227</v>
      </c>
    </row>
    <row r="52" spans="1:4" s="264" customFormat="1" ht="12.75">
      <c r="A52" s="280">
        <v>38</v>
      </c>
      <c r="B52" s="502" t="s">
        <v>715</v>
      </c>
      <c r="C52" s="280" t="s">
        <v>15</v>
      </c>
      <c r="D52" s="481">
        <v>12</v>
      </c>
    </row>
    <row r="53" spans="1:4" s="264" customFormat="1" ht="12.75">
      <c r="A53" s="280">
        <v>39</v>
      </c>
      <c r="B53" s="502" t="s">
        <v>716</v>
      </c>
      <c r="C53" s="280" t="s">
        <v>15</v>
      </c>
      <c r="D53" s="481">
        <v>24</v>
      </c>
    </row>
    <row r="54" spans="1:4" s="264" customFormat="1" ht="12.75">
      <c r="A54" s="280">
        <v>40</v>
      </c>
      <c r="B54" s="502" t="s">
        <v>717</v>
      </c>
      <c r="C54" s="270" t="s">
        <v>12</v>
      </c>
      <c r="D54" s="498">
        <v>805</v>
      </c>
    </row>
    <row r="55" spans="1:4" s="264" customFormat="1" ht="12.75">
      <c r="A55" s="280">
        <v>41</v>
      </c>
      <c r="B55" s="502" t="s">
        <v>718</v>
      </c>
      <c r="C55" s="270" t="s">
        <v>12</v>
      </c>
      <c r="D55" s="498">
        <v>405</v>
      </c>
    </row>
    <row r="56" spans="1:4" s="264" customFormat="1" ht="12.75">
      <c r="A56" s="280">
        <v>42</v>
      </c>
      <c r="B56" s="502" t="s">
        <v>297</v>
      </c>
      <c r="C56" s="270" t="s">
        <v>12</v>
      </c>
      <c r="D56" s="498">
        <v>766</v>
      </c>
    </row>
    <row r="57" spans="1:4" s="264" customFormat="1" ht="12.75">
      <c r="A57" s="280">
        <v>43</v>
      </c>
      <c r="B57" s="502" t="s">
        <v>298</v>
      </c>
      <c r="C57" s="270" t="s">
        <v>12</v>
      </c>
      <c r="D57" s="498">
        <v>433</v>
      </c>
    </row>
    <row r="58" spans="1:4" s="264" customFormat="1" ht="12.75">
      <c r="A58" s="280">
        <v>44</v>
      </c>
      <c r="B58" s="502" t="s">
        <v>299</v>
      </c>
      <c r="C58" s="270" t="s">
        <v>12</v>
      </c>
      <c r="D58" s="498">
        <v>178</v>
      </c>
    </row>
    <row r="59" spans="1:4" s="264" customFormat="1" ht="12.75">
      <c r="A59" s="280">
        <v>45</v>
      </c>
      <c r="B59" s="502" t="s">
        <v>300</v>
      </c>
      <c r="C59" s="270" t="s">
        <v>12</v>
      </c>
      <c r="D59" s="498">
        <v>227</v>
      </c>
    </row>
    <row r="60" spans="1:4" s="264" customFormat="1" ht="12.75">
      <c r="A60" s="280">
        <v>46</v>
      </c>
      <c r="B60" s="502" t="s">
        <v>301</v>
      </c>
      <c r="C60" s="270" t="s">
        <v>12</v>
      </c>
      <c r="D60" s="498">
        <v>205</v>
      </c>
    </row>
    <row r="61" spans="1:4" s="264" customFormat="1" ht="25.5">
      <c r="A61" s="280">
        <v>47</v>
      </c>
      <c r="B61" s="475" t="s">
        <v>1306</v>
      </c>
      <c r="C61" s="481" t="s">
        <v>3</v>
      </c>
      <c r="D61" s="280">
        <v>1</v>
      </c>
    </row>
    <row r="62" spans="1:4" s="264" customFormat="1" ht="25.5">
      <c r="A62" s="280">
        <v>48</v>
      </c>
      <c r="B62" s="475" t="s">
        <v>1306</v>
      </c>
      <c r="C62" s="481" t="s">
        <v>3</v>
      </c>
      <c r="D62" s="280">
        <v>1</v>
      </c>
    </row>
    <row r="63" spans="1:4" s="264" customFormat="1" ht="12.75">
      <c r="A63" s="280">
        <v>49</v>
      </c>
      <c r="B63" s="502" t="s">
        <v>1598</v>
      </c>
      <c r="C63" s="481" t="s">
        <v>309</v>
      </c>
      <c r="D63" s="280">
        <v>10</v>
      </c>
    </row>
    <row r="64" spans="1:4" s="264" customFormat="1" ht="12.75">
      <c r="A64" s="280">
        <v>50</v>
      </c>
      <c r="B64" s="502" t="s">
        <v>1599</v>
      </c>
      <c r="C64" s="481" t="s">
        <v>309</v>
      </c>
      <c r="D64" s="280">
        <v>20</v>
      </c>
    </row>
    <row r="65" spans="1:4" s="264" customFormat="1" ht="12.75">
      <c r="A65" s="280">
        <v>51</v>
      </c>
      <c r="B65" s="502" t="s">
        <v>1557</v>
      </c>
      <c r="C65" s="481" t="s">
        <v>309</v>
      </c>
      <c r="D65" s="280">
        <v>30</v>
      </c>
    </row>
    <row r="66" spans="1:4" s="264" customFormat="1" ht="12.75">
      <c r="A66" s="280">
        <v>52</v>
      </c>
      <c r="B66" s="502" t="s">
        <v>1558</v>
      </c>
      <c r="C66" s="481" t="s">
        <v>309</v>
      </c>
      <c r="D66" s="280">
        <v>80</v>
      </c>
    </row>
    <row r="67" spans="1:4" s="264" customFormat="1" ht="12.75">
      <c r="A67" s="280">
        <v>53</v>
      </c>
      <c r="B67" s="502" t="s">
        <v>1559</v>
      </c>
      <c r="C67" s="481" t="s">
        <v>309</v>
      </c>
      <c r="D67" s="280">
        <v>178</v>
      </c>
    </row>
    <row r="68" spans="1:4" s="264" customFormat="1" ht="12.75">
      <c r="A68" s="280">
        <v>54</v>
      </c>
      <c r="B68" s="502" t="s">
        <v>1560</v>
      </c>
      <c r="C68" s="481" t="s">
        <v>309</v>
      </c>
      <c r="D68" s="280">
        <v>227</v>
      </c>
    </row>
    <row r="69" spans="1:4" s="264" customFormat="1" ht="12.75">
      <c r="A69" s="280">
        <v>55</v>
      </c>
      <c r="B69" s="502" t="s">
        <v>1561</v>
      </c>
      <c r="C69" s="481" t="s">
        <v>309</v>
      </c>
      <c r="D69" s="280">
        <v>205</v>
      </c>
    </row>
    <row r="70" spans="1:4" s="264" customFormat="1" ht="12.75">
      <c r="A70" s="280">
        <v>56</v>
      </c>
      <c r="B70" s="502" t="s">
        <v>719</v>
      </c>
      <c r="C70" s="481" t="s">
        <v>3</v>
      </c>
      <c r="D70" s="280">
        <v>13</v>
      </c>
    </row>
    <row r="71" spans="1:4" s="264" customFormat="1" ht="12.75">
      <c r="A71" s="280">
        <v>57</v>
      </c>
      <c r="B71" s="502" t="s">
        <v>720</v>
      </c>
      <c r="C71" s="481" t="s">
        <v>3</v>
      </c>
      <c r="D71" s="280">
        <v>17</v>
      </c>
    </row>
    <row r="72" spans="1:4" s="264" customFormat="1" ht="12.75">
      <c r="A72" s="280">
        <v>58</v>
      </c>
      <c r="B72" s="502" t="s">
        <v>721</v>
      </c>
      <c r="C72" s="481" t="s">
        <v>3</v>
      </c>
      <c r="D72" s="280">
        <v>2</v>
      </c>
    </row>
    <row r="73" spans="1:4" s="264" customFormat="1" ht="12.75">
      <c r="A73" s="280">
        <v>59</v>
      </c>
      <c r="B73" s="502" t="s">
        <v>722</v>
      </c>
      <c r="C73" s="499" t="s">
        <v>15</v>
      </c>
      <c r="D73" s="280">
        <v>13</v>
      </c>
    </row>
    <row r="74" spans="1:4" s="264" customFormat="1" ht="12.75">
      <c r="A74" s="500">
        <v>60</v>
      </c>
      <c r="B74" s="506" t="s">
        <v>723</v>
      </c>
      <c r="C74" s="501" t="s">
        <v>15</v>
      </c>
      <c r="D74" s="500">
        <v>17</v>
      </c>
    </row>
    <row r="75" spans="1:4" s="264" customFormat="1" ht="12.75">
      <c r="A75" s="280">
        <v>61</v>
      </c>
      <c r="B75" s="502" t="s">
        <v>724</v>
      </c>
      <c r="C75" s="499" t="s">
        <v>15</v>
      </c>
      <c r="D75" s="280">
        <v>2</v>
      </c>
    </row>
    <row r="76" spans="1:4" s="264" customFormat="1" ht="12.75">
      <c r="A76" s="280">
        <v>62</v>
      </c>
      <c r="B76" s="502" t="s">
        <v>725</v>
      </c>
      <c r="C76" s="499" t="s">
        <v>15</v>
      </c>
      <c r="D76" s="280">
        <v>4</v>
      </c>
    </row>
    <row r="77" spans="1:4" s="264" customFormat="1" ht="12.75">
      <c r="A77" s="280">
        <v>63</v>
      </c>
      <c r="B77" s="502" t="s">
        <v>726</v>
      </c>
      <c r="C77" s="499" t="s">
        <v>15</v>
      </c>
      <c r="D77" s="280">
        <v>6</v>
      </c>
    </row>
    <row r="78" spans="1:4" s="264" customFormat="1" ht="12.75">
      <c r="A78" s="280">
        <v>64</v>
      </c>
      <c r="B78" s="502" t="s">
        <v>727</v>
      </c>
      <c r="C78" s="499" t="s">
        <v>15</v>
      </c>
      <c r="D78" s="280">
        <v>2</v>
      </c>
    </row>
    <row r="79" spans="1:4" s="264" customFormat="1" ht="12.75">
      <c r="A79" s="280">
        <v>65</v>
      </c>
      <c r="B79" s="502" t="s">
        <v>731</v>
      </c>
      <c r="C79" s="476"/>
      <c r="D79" s="502"/>
    </row>
    <row r="80" spans="1:4" s="264" customFormat="1" ht="12.75">
      <c r="A80" s="280">
        <v>66</v>
      </c>
      <c r="B80" s="502" t="s">
        <v>728</v>
      </c>
      <c r="C80" s="481" t="s">
        <v>3</v>
      </c>
      <c r="D80" s="481">
        <v>1</v>
      </c>
    </row>
    <row r="81" spans="1:4" s="264" customFormat="1" ht="12.75">
      <c r="A81" s="280">
        <v>67</v>
      </c>
      <c r="B81" s="502" t="s">
        <v>729</v>
      </c>
      <c r="C81" s="481" t="s">
        <v>3</v>
      </c>
      <c r="D81" s="481">
        <v>1</v>
      </c>
    </row>
    <row r="82" spans="1:4" s="264" customFormat="1" ht="12.75">
      <c r="A82" s="280">
        <v>68</v>
      </c>
      <c r="B82" s="502" t="s">
        <v>307</v>
      </c>
      <c r="C82" s="481" t="s">
        <v>3</v>
      </c>
      <c r="D82" s="481">
        <v>1</v>
      </c>
    </row>
    <row r="83" spans="1:4" s="264" customFormat="1" ht="25.5">
      <c r="A83" s="280">
        <v>69</v>
      </c>
      <c r="B83" s="475" t="s">
        <v>730</v>
      </c>
      <c r="C83" s="481" t="s">
        <v>3</v>
      </c>
      <c r="D83" s="481">
        <v>1</v>
      </c>
    </row>
    <row r="84" spans="1:4" s="264" customFormat="1" ht="12.75">
      <c r="A84" s="280">
        <v>70</v>
      </c>
      <c r="B84" s="503" t="s">
        <v>406</v>
      </c>
      <c r="C84" s="504" t="s">
        <v>3</v>
      </c>
      <c r="D84" s="505">
        <v>1</v>
      </c>
    </row>
    <row r="85" spans="1:4" s="264" customFormat="1" ht="12.75">
      <c r="A85" s="273" t="s">
        <v>0</v>
      </c>
      <c r="B85" s="458" t="s">
        <v>1</v>
      </c>
      <c r="C85" s="349"/>
      <c r="D85" s="350"/>
    </row>
    <row r="86" spans="1:4" s="264" customFormat="1" ht="153">
      <c r="A86" s="273"/>
      <c r="B86" s="269" t="s">
        <v>1469</v>
      </c>
      <c r="C86" s="349" t="s">
        <v>2</v>
      </c>
      <c r="D86" s="350">
        <v>1</v>
      </c>
    </row>
    <row r="87" spans="1:4" ht="15">
      <c r="A87" s="284"/>
      <c r="B87" s="541" t="s">
        <v>13</v>
      </c>
      <c r="C87" s="542"/>
      <c r="D87" s="285"/>
    </row>
    <row r="88" spans="2:4" ht="15">
      <c r="B88" s="254"/>
      <c r="C88" s="254"/>
      <c r="D88" s="254"/>
    </row>
    <row r="89" spans="1:4" s="264" customFormat="1" ht="12.75">
      <c r="A89" s="287" t="s">
        <v>14</v>
      </c>
      <c r="B89" s="288"/>
      <c r="C89" s="286"/>
      <c r="D89" s="286"/>
    </row>
    <row r="90" spans="1:4" s="264" customFormat="1" ht="12.75">
      <c r="A90" s="289"/>
      <c r="B90" s="290" t="s">
        <v>4</v>
      </c>
      <c r="C90" s="286"/>
      <c r="D90" s="286"/>
    </row>
    <row r="91" spans="1:4" s="264" customFormat="1" ht="12.75">
      <c r="A91" s="289"/>
      <c r="B91" s="291"/>
      <c r="C91" s="286"/>
      <c r="D91" s="286"/>
    </row>
    <row r="92" spans="1:4" s="264" customFormat="1" ht="12.75">
      <c r="A92" s="287" t="s">
        <v>6</v>
      </c>
      <c r="B92" s="288"/>
      <c r="C92" s="286"/>
      <c r="D92" s="286"/>
    </row>
    <row r="93" spans="1:4" s="264" customFormat="1" ht="12.75">
      <c r="A93" s="289"/>
      <c r="B93" s="290" t="s">
        <v>4</v>
      </c>
      <c r="C93" s="286"/>
      <c r="D93" s="286"/>
    </row>
    <row r="94" spans="1:4" s="264" customFormat="1" ht="12.75">
      <c r="A94" s="289" t="s">
        <v>5</v>
      </c>
      <c r="B94" s="351"/>
      <c r="C94" s="286"/>
      <c r="D94" s="286"/>
    </row>
  </sheetData>
  <sheetProtection/>
  <mergeCells count="9">
    <mergeCell ref="A10:B10"/>
    <mergeCell ref="B87:C87"/>
    <mergeCell ref="A9:D9"/>
    <mergeCell ref="A1:D1"/>
    <mergeCell ref="A2:D2"/>
    <mergeCell ref="A3:D3"/>
    <mergeCell ref="A5:D5"/>
    <mergeCell ref="A6:D6"/>
    <mergeCell ref="A7:D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D137"/>
  <sheetViews>
    <sheetView showZeros="0" view="pageBreakPreview" zoomScale="130" zoomScaleSheetLayoutView="130" zoomScalePageLayoutView="0" workbookViewId="0" topLeftCell="A9">
      <selection activeCell="B42" sqref="B42"/>
    </sheetView>
  </sheetViews>
  <sheetFormatPr defaultColWidth="11.421875" defaultRowHeight="15"/>
  <cols>
    <col min="1" max="1" width="7.140625" style="3" customWidth="1"/>
    <col min="2" max="2" width="51.7109375" style="3" customWidth="1"/>
    <col min="3" max="3" width="11.421875" style="3" customWidth="1"/>
    <col min="4" max="4" width="11.57421875" style="25" customWidth="1"/>
    <col min="5" max="5" width="9.421875" style="2" customWidth="1"/>
    <col min="6" max="16384" width="11.421875" style="2" customWidth="1"/>
  </cols>
  <sheetData>
    <row r="1" spans="1:4" ht="15.75">
      <c r="A1" s="544" t="s">
        <v>1519</v>
      </c>
      <c r="B1" s="544"/>
      <c r="C1" s="544"/>
      <c r="D1" s="544"/>
    </row>
    <row r="2" spans="1:4" ht="18" customHeight="1">
      <c r="A2" s="545" t="s">
        <v>891</v>
      </c>
      <c r="B2" s="545"/>
      <c r="C2" s="545"/>
      <c r="D2" s="545"/>
    </row>
    <row r="3" spans="1:4" ht="15.75" customHeight="1">
      <c r="A3" s="546" t="s">
        <v>1452</v>
      </c>
      <c r="B3" s="546"/>
      <c r="C3" s="546"/>
      <c r="D3" s="546"/>
    </row>
    <row r="4" spans="1:4" ht="15.75">
      <c r="A4" s="124"/>
      <c r="B4" s="124"/>
      <c r="C4" s="124"/>
      <c r="D4" s="124"/>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75">
      <c r="A9" s="558"/>
      <c r="B9" s="558"/>
      <c r="C9" s="558"/>
      <c r="D9" s="558"/>
    </row>
    <row r="10" spans="1:4" ht="15.75">
      <c r="A10" s="550" t="s">
        <v>1516</v>
      </c>
      <c r="B10" s="550"/>
      <c r="C10" s="557"/>
      <c r="D10" s="557"/>
    </row>
    <row r="11" spans="1:4" ht="16.5">
      <c r="A11" s="215"/>
      <c r="B11" s="215"/>
      <c r="C11" s="215"/>
      <c r="D11" s="215"/>
    </row>
    <row r="12" spans="1:4" ht="42" customHeight="1">
      <c r="A12" s="309" t="s">
        <v>886</v>
      </c>
      <c r="B12" s="299" t="s">
        <v>1455</v>
      </c>
      <c r="C12" s="309" t="s">
        <v>1464</v>
      </c>
      <c r="D12" s="299" t="s">
        <v>1465</v>
      </c>
    </row>
    <row r="13" spans="1:4" ht="15.75">
      <c r="A13" s="260">
        <v>1</v>
      </c>
      <c r="B13" s="260">
        <v>2</v>
      </c>
      <c r="C13" s="260">
        <v>3</v>
      </c>
      <c r="D13" s="260">
        <v>4</v>
      </c>
    </row>
    <row r="14" spans="1:4" s="9" customFormat="1" ht="12.75">
      <c r="A14" s="12">
        <v>1</v>
      </c>
      <c r="B14" s="228" t="s">
        <v>759</v>
      </c>
      <c r="C14" s="31"/>
      <c r="D14" s="31"/>
    </row>
    <row r="15" spans="1:4" s="9" customFormat="1" ht="25.5">
      <c r="A15" s="29" t="s">
        <v>20</v>
      </c>
      <c r="B15" s="227" t="s">
        <v>1448</v>
      </c>
      <c r="C15" s="12" t="s">
        <v>15</v>
      </c>
      <c r="D15" s="12">
        <v>4</v>
      </c>
    </row>
    <row r="16" spans="1:4" s="9" customFormat="1" ht="12.75">
      <c r="A16" s="29" t="s">
        <v>21</v>
      </c>
      <c r="B16" s="107" t="s">
        <v>733</v>
      </c>
      <c r="C16" s="12" t="s">
        <v>15</v>
      </c>
      <c r="D16" s="12">
        <v>1</v>
      </c>
    </row>
    <row r="17" spans="1:4" s="9" customFormat="1" ht="25.5">
      <c r="A17" s="29" t="s">
        <v>240</v>
      </c>
      <c r="B17" s="227" t="s">
        <v>1307</v>
      </c>
      <c r="C17" s="12" t="s">
        <v>15</v>
      </c>
      <c r="D17" s="12">
        <v>1</v>
      </c>
    </row>
    <row r="18" spans="1:4" s="9" customFormat="1" ht="25.5">
      <c r="A18" s="29" t="s">
        <v>241</v>
      </c>
      <c r="B18" s="227" t="s">
        <v>1600</v>
      </c>
      <c r="C18" s="12" t="s">
        <v>15</v>
      </c>
      <c r="D18" s="12">
        <v>1</v>
      </c>
    </row>
    <row r="19" spans="1:4" s="9" customFormat="1" ht="12.75">
      <c r="A19" s="29" t="s">
        <v>242</v>
      </c>
      <c r="B19" s="107" t="s">
        <v>734</v>
      </c>
      <c r="C19" s="12" t="s">
        <v>15</v>
      </c>
      <c r="D19" s="12">
        <v>4</v>
      </c>
    </row>
    <row r="20" spans="1:4" s="9" customFormat="1" ht="12.75">
      <c r="A20" s="29" t="s">
        <v>243</v>
      </c>
      <c r="B20" s="107" t="s">
        <v>735</v>
      </c>
      <c r="C20" s="12" t="s">
        <v>15</v>
      </c>
      <c r="D20" s="12">
        <v>2</v>
      </c>
    </row>
    <row r="21" spans="1:4" s="9" customFormat="1" ht="12.75">
      <c r="A21" s="29" t="s">
        <v>413</v>
      </c>
      <c r="B21" s="107" t="s">
        <v>736</v>
      </c>
      <c r="C21" s="12" t="s">
        <v>15</v>
      </c>
      <c r="D21" s="12">
        <v>2</v>
      </c>
    </row>
    <row r="22" spans="1:4" s="9" customFormat="1" ht="12.75">
      <c r="A22" s="29" t="s">
        <v>423</v>
      </c>
      <c r="B22" s="107" t="s">
        <v>737</v>
      </c>
      <c r="C22" s="12" t="s">
        <v>15</v>
      </c>
      <c r="D22" s="12">
        <v>2</v>
      </c>
    </row>
    <row r="23" spans="1:4" s="9" customFormat="1" ht="12.75">
      <c r="A23" s="12">
        <v>2</v>
      </c>
      <c r="B23" s="228" t="s">
        <v>777</v>
      </c>
      <c r="C23" s="12" t="s">
        <v>15</v>
      </c>
      <c r="D23" s="12"/>
    </row>
    <row r="24" spans="1:4" s="9" customFormat="1" ht="25.5">
      <c r="A24" s="29" t="s">
        <v>22</v>
      </c>
      <c r="B24" s="227" t="s">
        <v>1308</v>
      </c>
      <c r="C24" s="12" t="s">
        <v>15</v>
      </c>
      <c r="D24" s="12">
        <v>1</v>
      </c>
    </row>
    <row r="25" spans="1:4" s="9" customFormat="1" ht="12.75">
      <c r="A25" s="29" t="s">
        <v>23</v>
      </c>
      <c r="B25" s="107" t="s">
        <v>1309</v>
      </c>
      <c r="C25" s="12" t="s">
        <v>15</v>
      </c>
      <c r="D25" s="12">
        <v>1</v>
      </c>
    </row>
    <row r="26" spans="1:4" s="9" customFormat="1" ht="25.5">
      <c r="A26" s="29" t="s">
        <v>24</v>
      </c>
      <c r="B26" s="227" t="s">
        <v>1310</v>
      </c>
      <c r="C26" s="12" t="s">
        <v>15</v>
      </c>
      <c r="D26" s="12">
        <v>1</v>
      </c>
    </row>
    <row r="27" spans="1:4" s="9" customFormat="1" ht="25.5">
      <c r="A27" s="29" t="s">
        <v>25</v>
      </c>
      <c r="B27" s="227" t="s">
        <v>1311</v>
      </c>
      <c r="C27" s="12" t="s">
        <v>15</v>
      </c>
      <c r="D27" s="113">
        <v>3</v>
      </c>
    </row>
    <row r="28" spans="1:4" s="9" customFormat="1" ht="25.5">
      <c r="A28" s="29" t="s">
        <v>26</v>
      </c>
      <c r="B28" s="227" t="s">
        <v>1449</v>
      </c>
      <c r="C28" s="12" t="s">
        <v>15</v>
      </c>
      <c r="D28" s="12">
        <v>1</v>
      </c>
    </row>
    <row r="29" spans="1:4" s="9" customFormat="1" ht="25.5">
      <c r="A29" s="29" t="s">
        <v>11</v>
      </c>
      <c r="B29" s="227" t="s">
        <v>1312</v>
      </c>
      <c r="C29" s="12" t="s">
        <v>15</v>
      </c>
      <c r="D29" s="12">
        <v>1</v>
      </c>
    </row>
    <row r="30" spans="1:4" s="9" customFormat="1" ht="25.5">
      <c r="A30" s="29" t="s">
        <v>7</v>
      </c>
      <c r="B30" s="227" t="s">
        <v>1313</v>
      </c>
      <c r="C30" s="12" t="s">
        <v>15</v>
      </c>
      <c r="D30" s="12">
        <v>1</v>
      </c>
    </row>
    <row r="31" spans="1:4" s="9" customFormat="1" ht="25.5">
      <c r="A31" s="29" t="s">
        <v>8</v>
      </c>
      <c r="B31" s="227" t="s">
        <v>1314</v>
      </c>
      <c r="C31" s="12" t="s">
        <v>15</v>
      </c>
      <c r="D31" s="12">
        <v>1</v>
      </c>
    </row>
    <row r="32" spans="1:4" s="9" customFormat="1" ht="25.5">
      <c r="A32" s="29" t="s">
        <v>9</v>
      </c>
      <c r="B32" s="227" t="s">
        <v>1315</v>
      </c>
      <c r="C32" s="12" t="s">
        <v>15</v>
      </c>
      <c r="D32" s="12">
        <v>3</v>
      </c>
    </row>
    <row r="33" spans="1:4" s="9" customFormat="1" ht="25.5">
      <c r="A33" s="29" t="s">
        <v>10</v>
      </c>
      <c r="B33" s="227" t="s">
        <v>1316</v>
      </c>
      <c r="C33" s="12" t="s">
        <v>15</v>
      </c>
      <c r="D33" s="12">
        <v>2</v>
      </c>
    </row>
    <row r="34" spans="1:4" s="49" customFormat="1" ht="12.75">
      <c r="A34" s="29" t="s">
        <v>29</v>
      </c>
      <c r="B34" s="107" t="s">
        <v>738</v>
      </c>
      <c r="C34" s="12" t="s">
        <v>15</v>
      </c>
      <c r="D34" s="12">
        <v>8</v>
      </c>
    </row>
    <row r="35" spans="1:4" s="9" customFormat="1" ht="12.75">
      <c r="A35" s="29" t="s">
        <v>30</v>
      </c>
      <c r="B35" s="107" t="s">
        <v>739</v>
      </c>
      <c r="C35" s="12" t="s">
        <v>15</v>
      </c>
      <c r="D35" s="12">
        <v>6</v>
      </c>
    </row>
    <row r="36" spans="1:4" s="9" customFormat="1" ht="12.75">
      <c r="A36" s="29" t="s">
        <v>31</v>
      </c>
      <c r="B36" s="107" t="s">
        <v>740</v>
      </c>
      <c r="C36" s="12" t="s">
        <v>15</v>
      </c>
      <c r="D36" s="12">
        <v>1</v>
      </c>
    </row>
    <row r="37" spans="1:4" s="9" customFormat="1" ht="12.75">
      <c r="A37" s="29" t="s">
        <v>32</v>
      </c>
      <c r="B37" s="107" t="s">
        <v>741</v>
      </c>
      <c r="C37" s="12" t="s">
        <v>15</v>
      </c>
      <c r="D37" s="189">
        <v>2</v>
      </c>
    </row>
    <row r="38" spans="1:4" s="9" customFormat="1" ht="12.75">
      <c r="A38" s="29" t="s">
        <v>33</v>
      </c>
      <c r="B38" s="107" t="s">
        <v>736</v>
      </c>
      <c r="C38" s="12" t="s">
        <v>15</v>
      </c>
      <c r="D38" s="12">
        <v>6</v>
      </c>
    </row>
    <row r="39" spans="1:4" s="9" customFormat="1" ht="12.75">
      <c r="A39" s="29" t="s">
        <v>35</v>
      </c>
      <c r="B39" s="107" t="s">
        <v>736</v>
      </c>
      <c r="C39" s="12" t="s">
        <v>15</v>
      </c>
      <c r="D39" s="12">
        <v>2</v>
      </c>
    </row>
    <row r="40" spans="1:4" s="9" customFormat="1" ht="12.75">
      <c r="A40" s="29" t="s">
        <v>36</v>
      </c>
      <c r="B40" s="107" t="s">
        <v>735</v>
      </c>
      <c r="C40" s="12" t="s">
        <v>15</v>
      </c>
      <c r="D40" s="12">
        <v>5</v>
      </c>
    </row>
    <row r="41" spans="1:4" s="9" customFormat="1" ht="12.75">
      <c r="A41" s="29" t="s">
        <v>37</v>
      </c>
      <c r="B41" s="107" t="s">
        <v>742</v>
      </c>
      <c r="C41" s="12" t="s">
        <v>15</v>
      </c>
      <c r="D41" s="113">
        <v>2</v>
      </c>
    </row>
    <row r="42" spans="1:4" s="9" customFormat="1" ht="12.75">
      <c r="A42" s="29" t="s">
        <v>38</v>
      </c>
      <c r="B42" s="107" t="s">
        <v>743</v>
      </c>
      <c r="C42" s="12" t="s">
        <v>15</v>
      </c>
      <c r="D42" s="12">
        <v>4</v>
      </c>
    </row>
    <row r="43" spans="1:4" s="9" customFormat="1" ht="12.75">
      <c r="A43" s="29" t="s">
        <v>39</v>
      </c>
      <c r="B43" s="107" t="s">
        <v>744</v>
      </c>
      <c r="C43" s="12" t="s">
        <v>15</v>
      </c>
      <c r="D43" s="12">
        <v>2</v>
      </c>
    </row>
    <row r="44" spans="1:4" s="9" customFormat="1" ht="12.75">
      <c r="A44" s="29" t="s">
        <v>40</v>
      </c>
      <c r="B44" s="107" t="s">
        <v>745</v>
      </c>
      <c r="C44" s="12" t="s">
        <v>15</v>
      </c>
      <c r="D44" s="12">
        <v>1</v>
      </c>
    </row>
    <row r="45" spans="1:4" s="9" customFormat="1" ht="12.75">
      <c r="A45" s="29" t="s">
        <v>41</v>
      </c>
      <c r="B45" s="107" t="s">
        <v>746</v>
      </c>
      <c r="C45" s="12" t="s">
        <v>15</v>
      </c>
      <c r="D45" s="12">
        <v>1</v>
      </c>
    </row>
    <row r="46" spans="1:4" s="9" customFormat="1" ht="12.75">
      <c r="A46" s="29" t="s">
        <v>42</v>
      </c>
      <c r="B46" s="107" t="s">
        <v>747</v>
      </c>
      <c r="C46" s="12" t="s">
        <v>15</v>
      </c>
      <c r="D46" s="12">
        <v>1</v>
      </c>
    </row>
    <row r="47" spans="1:4" s="9" customFormat="1" ht="12.75">
      <c r="A47" s="29" t="s">
        <v>43</v>
      </c>
      <c r="B47" s="107" t="s">
        <v>748</v>
      </c>
      <c r="C47" s="12" t="s">
        <v>15</v>
      </c>
      <c r="D47" s="12">
        <v>1</v>
      </c>
    </row>
    <row r="48" spans="1:4" s="9" customFormat="1" ht="12.75">
      <c r="A48" s="29" t="s">
        <v>44</v>
      </c>
      <c r="B48" s="107" t="s">
        <v>1450</v>
      </c>
      <c r="C48" s="12" t="s">
        <v>15</v>
      </c>
      <c r="D48" s="12">
        <v>1</v>
      </c>
    </row>
    <row r="49" spans="1:4" s="9" customFormat="1" ht="12.75">
      <c r="A49" s="29" t="s">
        <v>45</v>
      </c>
      <c r="B49" s="107" t="s">
        <v>749</v>
      </c>
      <c r="C49" s="12" t="s">
        <v>15</v>
      </c>
      <c r="D49" s="12">
        <v>2</v>
      </c>
    </row>
    <row r="50" spans="1:4" s="9" customFormat="1" ht="12.75">
      <c r="A50" s="29" t="s">
        <v>46</v>
      </c>
      <c r="B50" s="107" t="s">
        <v>790</v>
      </c>
      <c r="C50" s="12" t="s">
        <v>15</v>
      </c>
      <c r="D50" s="12">
        <v>8</v>
      </c>
    </row>
    <row r="51" spans="1:4" s="9" customFormat="1" ht="12.75">
      <c r="A51" s="29" t="s">
        <v>47</v>
      </c>
      <c r="B51" s="107" t="s">
        <v>766</v>
      </c>
      <c r="C51" s="12" t="s">
        <v>15</v>
      </c>
      <c r="D51" s="12">
        <v>1</v>
      </c>
    </row>
    <row r="52" spans="1:4" s="9" customFormat="1" ht="12.75">
      <c r="A52" s="29" t="s">
        <v>585</v>
      </c>
      <c r="B52" s="107" t="s">
        <v>1317</v>
      </c>
      <c r="C52" s="12" t="s">
        <v>15</v>
      </c>
      <c r="D52" s="12">
        <v>1</v>
      </c>
    </row>
    <row r="53" spans="1:4" s="9" customFormat="1" ht="12.75">
      <c r="A53" s="29" t="s">
        <v>587</v>
      </c>
      <c r="B53" s="232" t="s">
        <v>1340</v>
      </c>
      <c r="C53" s="12" t="s">
        <v>175</v>
      </c>
      <c r="D53" s="48">
        <v>1</v>
      </c>
    </row>
    <row r="54" spans="1:4" s="9" customFormat="1" ht="12.75">
      <c r="A54" s="12">
        <v>3</v>
      </c>
      <c r="B54" s="228" t="s">
        <v>778</v>
      </c>
      <c r="C54" s="12"/>
      <c r="D54" s="12"/>
    </row>
    <row r="55" spans="1:4" s="9" customFormat="1" ht="25.5">
      <c r="A55" s="29" t="s">
        <v>795</v>
      </c>
      <c r="B55" s="227" t="s">
        <v>1319</v>
      </c>
      <c r="C55" s="12" t="s">
        <v>15</v>
      </c>
      <c r="D55" s="12">
        <v>1</v>
      </c>
    </row>
    <row r="56" spans="1:4" s="9" customFormat="1" ht="25.5">
      <c r="A56" s="29" t="s">
        <v>796</v>
      </c>
      <c r="B56" s="227" t="s">
        <v>1311</v>
      </c>
      <c r="C56" s="12" t="s">
        <v>15</v>
      </c>
      <c r="D56" s="12">
        <v>1</v>
      </c>
    </row>
    <row r="57" spans="1:4" s="9" customFormat="1" ht="25.5">
      <c r="A57" s="29" t="s">
        <v>797</v>
      </c>
      <c r="B57" s="227" t="s">
        <v>1320</v>
      </c>
      <c r="C57" s="12" t="s">
        <v>15</v>
      </c>
      <c r="D57" s="12">
        <v>1</v>
      </c>
    </row>
    <row r="58" spans="1:4" s="9" customFormat="1" ht="28.5" customHeight="1">
      <c r="A58" s="29" t="s">
        <v>798</v>
      </c>
      <c r="B58" s="227" t="s">
        <v>1321</v>
      </c>
      <c r="C58" s="12" t="s">
        <v>15</v>
      </c>
      <c r="D58" s="12">
        <v>1</v>
      </c>
    </row>
    <row r="59" spans="1:4" s="9" customFormat="1" ht="24" customHeight="1">
      <c r="A59" s="29" t="s">
        <v>799</v>
      </c>
      <c r="B59" s="227" t="s">
        <v>1313</v>
      </c>
      <c r="C59" s="12" t="s">
        <v>15</v>
      </c>
      <c r="D59" s="12">
        <v>1</v>
      </c>
    </row>
    <row r="60" spans="1:4" s="9" customFormat="1" ht="25.5">
      <c r="A60" s="27" t="s">
        <v>800</v>
      </c>
      <c r="B60" s="233" t="s">
        <v>1322</v>
      </c>
      <c r="C60" s="45" t="s">
        <v>15</v>
      </c>
      <c r="D60" s="45">
        <v>1</v>
      </c>
    </row>
    <row r="61" spans="1:4" s="9" customFormat="1" ht="25.5">
      <c r="A61" s="29" t="s">
        <v>801</v>
      </c>
      <c r="B61" s="227" t="s">
        <v>1316</v>
      </c>
      <c r="C61" s="12" t="s">
        <v>15</v>
      </c>
      <c r="D61" s="12">
        <v>2</v>
      </c>
    </row>
    <row r="62" spans="1:4" s="9" customFormat="1" ht="12.75">
      <c r="A62" s="29" t="s">
        <v>802</v>
      </c>
      <c r="B62" s="107" t="s">
        <v>752</v>
      </c>
      <c r="C62" s="12" t="s">
        <v>15</v>
      </c>
      <c r="D62" s="12">
        <v>3</v>
      </c>
    </row>
    <row r="63" spans="1:4" s="9" customFormat="1" ht="12.75">
      <c r="A63" s="29" t="s">
        <v>803</v>
      </c>
      <c r="B63" s="107" t="s">
        <v>753</v>
      </c>
      <c r="C63" s="12" t="s">
        <v>15</v>
      </c>
      <c r="D63" s="12">
        <v>2</v>
      </c>
    </row>
    <row r="64" spans="1:4" s="9" customFormat="1" ht="12.75">
      <c r="A64" s="29" t="s">
        <v>804</v>
      </c>
      <c r="B64" s="107" t="s">
        <v>742</v>
      </c>
      <c r="C64" s="12" t="s">
        <v>15</v>
      </c>
      <c r="D64" s="12">
        <v>2</v>
      </c>
    </row>
    <row r="65" spans="1:4" s="9" customFormat="1" ht="12.75">
      <c r="A65" s="29" t="s">
        <v>805</v>
      </c>
      <c r="B65" s="107" t="s">
        <v>754</v>
      </c>
      <c r="C65" s="12" t="s">
        <v>15</v>
      </c>
      <c r="D65" s="12">
        <v>1</v>
      </c>
    </row>
    <row r="66" spans="1:4" s="9" customFormat="1" ht="12.75">
      <c r="A66" s="29" t="s">
        <v>806</v>
      </c>
      <c r="B66" s="107" t="s">
        <v>755</v>
      </c>
      <c r="C66" s="12" t="s">
        <v>15</v>
      </c>
      <c r="D66" s="12">
        <v>1</v>
      </c>
    </row>
    <row r="67" spans="1:4" s="9" customFormat="1" ht="12.75">
      <c r="A67" s="29" t="s">
        <v>807</v>
      </c>
      <c r="B67" s="107" t="s">
        <v>756</v>
      </c>
      <c r="C67" s="12" t="s">
        <v>15</v>
      </c>
      <c r="D67" s="12">
        <v>1</v>
      </c>
    </row>
    <row r="68" spans="1:4" s="9" customFormat="1" ht="12.75">
      <c r="A68" s="29" t="s">
        <v>808</v>
      </c>
      <c r="B68" s="107" t="s">
        <v>757</v>
      </c>
      <c r="C68" s="12" t="s">
        <v>15</v>
      </c>
      <c r="D68" s="12">
        <v>1</v>
      </c>
    </row>
    <row r="69" spans="1:4" s="9" customFormat="1" ht="12.75">
      <c r="A69" s="29" t="s">
        <v>809</v>
      </c>
      <c r="B69" s="107" t="s">
        <v>758</v>
      </c>
      <c r="C69" s="12" t="s">
        <v>15</v>
      </c>
      <c r="D69" s="12">
        <v>1</v>
      </c>
    </row>
    <row r="70" spans="1:4" s="9" customFormat="1" ht="12.75">
      <c r="A70" s="29" t="s">
        <v>810</v>
      </c>
      <c r="B70" s="107" t="s">
        <v>749</v>
      </c>
      <c r="C70" s="12" t="s">
        <v>15</v>
      </c>
      <c r="D70" s="12">
        <v>2</v>
      </c>
    </row>
    <row r="71" spans="1:4" s="9" customFormat="1" ht="12.75">
      <c r="A71" s="29" t="s">
        <v>811</v>
      </c>
      <c r="B71" s="107" t="s">
        <v>791</v>
      </c>
      <c r="C71" s="12" t="s">
        <v>15</v>
      </c>
      <c r="D71" s="12">
        <v>3</v>
      </c>
    </row>
    <row r="72" spans="1:4" s="9" customFormat="1" ht="12.75">
      <c r="A72" s="29" t="s">
        <v>812</v>
      </c>
      <c r="B72" s="107" t="s">
        <v>1323</v>
      </c>
      <c r="C72" s="12" t="s">
        <v>15</v>
      </c>
      <c r="D72" s="12">
        <v>1</v>
      </c>
    </row>
    <row r="73" spans="1:4" s="9" customFormat="1" ht="12.75">
      <c r="A73" s="29" t="s">
        <v>1324</v>
      </c>
      <c r="B73" s="232" t="s">
        <v>1340</v>
      </c>
      <c r="C73" s="12" t="s">
        <v>175</v>
      </c>
      <c r="D73" s="48">
        <v>1</v>
      </c>
    </row>
    <row r="74" spans="1:4" s="9" customFormat="1" ht="12.75">
      <c r="A74" s="12">
        <v>4</v>
      </c>
      <c r="B74" s="228" t="s">
        <v>779</v>
      </c>
      <c r="C74" s="110"/>
      <c r="D74" s="110"/>
    </row>
    <row r="75" spans="1:4" s="9" customFormat="1" ht="25.5">
      <c r="A75" s="29" t="s">
        <v>813</v>
      </c>
      <c r="B75" s="227" t="s">
        <v>1325</v>
      </c>
      <c r="C75" s="12" t="s">
        <v>15</v>
      </c>
      <c r="D75" s="12">
        <v>1</v>
      </c>
    </row>
    <row r="76" spans="1:4" s="9" customFormat="1" ht="25.5">
      <c r="A76" s="29" t="s">
        <v>814</v>
      </c>
      <c r="B76" s="229" t="s">
        <v>1326</v>
      </c>
      <c r="C76" s="12" t="s">
        <v>15</v>
      </c>
      <c r="D76" s="12">
        <v>3</v>
      </c>
    </row>
    <row r="77" spans="1:4" s="9" customFormat="1" ht="25.5">
      <c r="A77" s="29" t="s">
        <v>815</v>
      </c>
      <c r="B77" s="229" t="s">
        <v>1327</v>
      </c>
      <c r="C77" s="12" t="s">
        <v>15</v>
      </c>
      <c r="D77" s="12">
        <v>1</v>
      </c>
    </row>
    <row r="78" spans="1:4" s="9" customFormat="1" ht="25.5">
      <c r="A78" s="29" t="s">
        <v>816</v>
      </c>
      <c r="B78" s="99" t="s">
        <v>1328</v>
      </c>
      <c r="C78" s="12" t="s">
        <v>15</v>
      </c>
      <c r="D78" s="12">
        <v>1</v>
      </c>
    </row>
    <row r="79" spans="1:4" s="9" customFormat="1" ht="25.5">
      <c r="A79" s="29" t="s">
        <v>817</v>
      </c>
      <c r="B79" s="227" t="s">
        <v>1329</v>
      </c>
      <c r="C79" s="12" t="s">
        <v>15</v>
      </c>
      <c r="D79" s="12">
        <v>1</v>
      </c>
    </row>
    <row r="80" spans="1:4" s="9" customFormat="1" ht="25.5">
      <c r="A80" s="27" t="s">
        <v>818</v>
      </c>
      <c r="B80" s="233" t="s">
        <v>1330</v>
      </c>
      <c r="C80" s="45" t="s">
        <v>15</v>
      </c>
      <c r="D80" s="45">
        <v>1</v>
      </c>
    </row>
    <row r="81" spans="1:4" s="9" customFormat="1" ht="25.5">
      <c r="A81" s="29" t="s">
        <v>819</v>
      </c>
      <c r="B81" s="99" t="s">
        <v>1331</v>
      </c>
      <c r="C81" s="12" t="s">
        <v>15</v>
      </c>
      <c r="D81" s="12">
        <v>1</v>
      </c>
    </row>
    <row r="82" spans="1:4" s="9" customFormat="1" ht="25.5">
      <c r="A82" s="27" t="s">
        <v>820</v>
      </c>
      <c r="B82" s="227" t="s">
        <v>1451</v>
      </c>
      <c r="C82" s="12" t="s">
        <v>15</v>
      </c>
      <c r="D82" s="12">
        <v>2</v>
      </c>
    </row>
    <row r="83" spans="1:4" s="9" customFormat="1" ht="12.75">
      <c r="A83" s="29" t="s">
        <v>821</v>
      </c>
      <c r="B83" s="107" t="s">
        <v>752</v>
      </c>
      <c r="C83" s="12" t="s">
        <v>15</v>
      </c>
      <c r="D83" s="12">
        <v>3</v>
      </c>
    </row>
    <row r="84" spans="1:4" s="9" customFormat="1" ht="12.75">
      <c r="A84" s="27" t="s">
        <v>822</v>
      </c>
      <c r="B84" s="107" t="s">
        <v>1332</v>
      </c>
      <c r="C84" s="12" t="s">
        <v>15</v>
      </c>
      <c r="D84" s="12">
        <v>2</v>
      </c>
    </row>
    <row r="85" spans="1:4" s="9" customFormat="1" ht="12.75">
      <c r="A85" s="29" t="s">
        <v>823</v>
      </c>
      <c r="B85" s="107" t="s">
        <v>761</v>
      </c>
      <c r="C85" s="12" t="s">
        <v>15</v>
      </c>
      <c r="D85" s="12">
        <v>2</v>
      </c>
    </row>
    <row r="86" spans="1:4" s="9" customFormat="1" ht="12.75">
      <c r="A86" s="27" t="s">
        <v>824</v>
      </c>
      <c r="B86" s="107" t="s">
        <v>740</v>
      </c>
      <c r="C86" s="12" t="s">
        <v>15</v>
      </c>
      <c r="D86" s="12">
        <v>2</v>
      </c>
    </row>
    <row r="87" spans="1:4" s="9" customFormat="1" ht="12.75">
      <c r="A87" s="29" t="s">
        <v>825</v>
      </c>
      <c r="B87" s="234" t="s">
        <v>1333</v>
      </c>
      <c r="C87" s="38" t="s">
        <v>15</v>
      </c>
      <c r="D87" s="38">
        <v>1</v>
      </c>
    </row>
    <row r="88" spans="1:4" s="9" customFormat="1" ht="12.75">
      <c r="A88" s="27" t="s">
        <v>826</v>
      </c>
      <c r="B88" s="234" t="s">
        <v>1334</v>
      </c>
      <c r="C88" s="38" t="s">
        <v>15</v>
      </c>
      <c r="D88" s="38">
        <v>1</v>
      </c>
    </row>
    <row r="89" spans="1:4" s="9" customFormat="1" ht="12.75">
      <c r="A89" s="29" t="s">
        <v>827</v>
      </c>
      <c r="B89" s="107" t="s">
        <v>745</v>
      </c>
      <c r="C89" s="12" t="s">
        <v>15</v>
      </c>
      <c r="D89" s="12">
        <v>1</v>
      </c>
    </row>
    <row r="90" spans="1:4" s="9" customFormat="1" ht="12.75">
      <c r="A90" s="27" t="s">
        <v>828</v>
      </c>
      <c r="B90" s="107" t="s">
        <v>762</v>
      </c>
      <c r="C90" s="12" t="s">
        <v>15</v>
      </c>
      <c r="D90" s="12">
        <v>1</v>
      </c>
    </row>
    <row r="91" spans="1:4" s="9" customFormat="1" ht="12.75">
      <c r="A91" s="29" t="s">
        <v>829</v>
      </c>
      <c r="B91" s="107" t="s">
        <v>763</v>
      </c>
      <c r="C91" s="12" t="s">
        <v>15</v>
      </c>
      <c r="D91" s="12">
        <v>1</v>
      </c>
    </row>
    <row r="92" spans="1:4" s="9" customFormat="1" ht="12.75">
      <c r="A92" s="27" t="s">
        <v>830</v>
      </c>
      <c r="B92" s="107" t="s">
        <v>780</v>
      </c>
      <c r="C92" s="12" t="s">
        <v>75</v>
      </c>
      <c r="D92" s="12">
        <v>840</v>
      </c>
    </row>
    <row r="93" spans="1:4" s="9" customFormat="1" ht="12.75">
      <c r="A93" s="29" t="s">
        <v>831</v>
      </c>
      <c r="B93" s="107" t="s">
        <v>764</v>
      </c>
      <c r="C93" s="12" t="s">
        <v>15</v>
      </c>
      <c r="D93" s="112">
        <v>1</v>
      </c>
    </row>
    <row r="94" spans="1:4" s="9" customFormat="1" ht="12.75">
      <c r="A94" s="27" t="s">
        <v>832</v>
      </c>
      <c r="B94" s="107" t="s">
        <v>1450</v>
      </c>
      <c r="C94" s="12" t="s">
        <v>15</v>
      </c>
      <c r="D94" s="12">
        <v>1</v>
      </c>
    </row>
    <row r="95" spans="1:4" s="9" customFormat="1" ht="12.75">
      <c r="A95" s="29" t="s">
        <v>833</v>
      </c>
      <c r="B95" s="107" t="s">
        <v>735</v>
      </c>
      <c r="C95" s="12" t="s">
        <v>15</v>
      </c>
      <c r="D95" s="12">
        <v>4</v>
      </c>
    </row>
    <row r="96" spans="1:4" s="9" customFormat="1" ht="12.75">
      <c r="A96" s="27" t="s">
        <v>834</v>
      </c>
      <c r="B96" s="107" t="s">
        <v>736</v>
      </c>
      <c r="C96" s="12" t="s">
        <v>15</v>
      </c>
      <c r="D96" s="12">
        <v>3</v>
      </c>
    </row>
    <row r="97" spans="1:4" s="9" customFormat="1" ht="12.75">
      <c r="A97" s="29" t="s">
        <v>835</v>
      </c>
      <c r="B97" s="107" t="s">
        <v>753</v>
      </c>
      <c r="C97" s="12" t="s">
        <v>15</v>
      </c>
      <c r="D97" s="12">
        <v>2</v>
      </c>
    </row>
    <row r="98" spans="1:4" s="9" customFormat="1" ht="12.75">
      <c r="A98" s="27" t="s">
        <v>836</v>
      </c>
      <c r="B98" s="107" t="s">
        <v>735</v>
      </c>
      <c r="C98" s="12" t="s">
        <v>15</v>
      </c>
      <c r="D98" s="12">
        <v>2</v>
      </c>
    </row>
    <row r="99" spans="1:4" s="9" customFormat="1" ht="12.75">
      <c r="A99" s="29" t="s">
        <v>837</v>
      </c>
      <c r="B99" s="107" t="s">
        <v>742</v>
      </c>
      <c r="C99" s="12" t="s">
        <v>15</v>
      </c>
      <c r="D99" s="12">
        <v>2</v>
      </c>
    </row>
    <row r="100" spans="1:4" s="9" customFormat="1" ht="12.75">
      <c r="A100" s="27" t="s">
        <v>1335</v>
      </c>
      <c r="B100" s="107" t="s">
        <v>765</v>
      </c>
      <c r="C100" s="12" t="s">
        <v>15</v>
      </c>
      <c r="D100" s="12">
        <v>4</v>
      </c>
    </row>
    <row r="101" spans="1:4" s="9" customFormat="1" ht="12.75">
      <c r="A101" s="29" t="s">
        <v>1336</v>
      </c>
      <c r="B101" s="107" t="s">
        <v>750</v>
      </c>
      <c r="C101" s="12" t="s">
        <v>15</v>
      </c>
      <c r="D101" s="12">
        <v>5</v>
      </c>
    </row>
    <row r="102" spans="1:4" s="9" customFormat="1" ht="12.75">
      <c r="A102" s="27" t="s">
        <v>1337</v>
      </c>
      <c r="B102" s="107" t="s">
        <v>766</v>
      </c>
      <c r="C102" s="12" t="s">
        <v>15</v>
      </c>
      <c r="D102" s="12">
        <v>1</v>
      </c>
    </row>
    <row r="103" spans="1:4" s="9" customFormat="1" ht="12.75">
      <c r="A103" s="29" t="s">
        <v>1338</v>
      </c>
      <c r="B103" s="232" t="s">
        <v>1340</v>
      </c>
      <c r="C103" s="12" t="s">
        <v>175</v>
      </c>
      <c r="D103" s="48">
        <v>1</v>
      </c>
    </row>
    <row r="104" spans="1:4" s="9" customFormat="1" ht="12.75">
      <c r="A104" s="12">
        <v>5</v>
      </c>
      <c r="B104" s="228" t="s">
        <v>781</v>
      </c>
      <c r="C104" s="12"/>
      <c r="D104" s="48"/>
    </row>
    <row r="105" spans="1:4" s="9" customFormat="1" ht="12.75">
      <c r="A105" s="29" t="s">
        <v>838</v>
      </c>
      <c r="B105" s="107" t="s">
        <v>789</v>
      </c>
      <c r="C105" s="12" t="s">
        <v>15</v>
      </c>
      <c r="D105" s="48">
        <v>2</v>
      </c>
    </row>
    <row r="106" spans="1:4" s="9" customFormat="1" ht="12.75">
      <c r="A106" s="29" t="s">
        <v>839</v>
      </c>
      <c r="B106" s="107" t="s">
        <v>782</v>
      </c>
      <c r="C106" s="12" t="s">
        <v>12</v>
      </c>
      <c r="D106" s="48">
        <v>8</v>
      </c>
    </row>
    <row r="107" spans="1:4" s="9" customFormat="1" ht="12.75">
      <c r="A107" s="29" t="s">
        <v>840</v>
      </c>
      <c r="B107" s="107" t="s">
        <v>783</v>
      </c>
      <c r="C107" s="12" t="s">
        <v>12</v>
      </c>
      <c r="D107" s="48">
        <v>16</v>
      </c>
    </row>
    <row r="108" spans="1:4" s="9" customFormat="1" ht="12.75">
      <c r="A108" s="29" t="s">
        <v>841</v>
      </c>
      <c r="B108" s="107" t="s">
        <v>784</v>
      </c>
      <c r="C108" s="12" t="s">
        <v>12</v>
      </c>
      <c r="D108" s="48">
        <v>18</v>
      </c>
    </row>
    <row r="109" spans="1:4" s="9" customFormat="1" ht="12.75">
      <c r="A109" s="29" t="s">
        <v>842</v>
      </c>
      <c r="B109" s="107" t="s">
        <v>785</v>
      </c>
      <c r="C109" s="12" t="s">
        <v>12</v>
      </c>
      <c r="D109" s="48">
        <v>16</v>
      </c>
    </row>
    <row r="110" spans="1:4" s="9" customFormat="1" ht="12.75">
      <c r="A110" s="29" t="s">
        <v>843</v>
      </c>
      <c r="B110" s="107" t="s">
        <v>786</v>
      </c>
      <c r="C110" s="12" t="s">
        <v>12</v>
      </c>
      <c r="D110" s="48">
        <v>4</v>
      </c>
    </row>
    <row r="111" spans="1:4" s="9" customFormat="1" ht="12.75">
      <c r="A111" s="29" t="s">
        <v>844</v>
      </c>
      <c r="B111" s="107" t="s">
        <v>787</v>
      </c>
      <c r="C111" s="12" t="s">
        <v>12</v>
      </c>
      <c r="D111" s="48">
        <v>4</v>
      </c>
    </row>
    <row r="112" spans="1:4" s="9" customFormat="1" ht="12.75">
      <c r="A112" s="29" t="s">
        <v>845</v>
      </c>
      <c r="B112" s="107" t="s">
        <v>788</v>
      </c>
      <c r="C112" s="12" t="s">
        <v>12</v>
      </c>
      <c r="D112" s="48">
        <v>2</v>
      </c>
    </row>
    <row r="113" spans="1:4" s="9" customFormat="1" ht="12.75">
      <c r="A113" s="29" t="s">
        <v>846</v>
      </c>
      <c r="B113" s="22" t="s">
        <v>1318</v>
      </c>
      <c r="C113" s="12" t="s">
        <v>175</v>
      </c>
      <c r="D113" s="48">
        <v>1</v>
      </c>
    </row>
    <row r="114" spans="1:4" s="9" customFormat="1" ht="12.75">
      <c r="A114" s="29" t="s">
        <v>847</v>
      </c>
      <c r="B114" s="107" t="s">
        <v>767</v>
      </c>
      <c r="C114" s="12" t="s">
        <v>75</v>
      </c>
      <c r="D114" s="48">
        <v>4</v>
      </c>
    </row>
    <row r="115" spans="1:4" s="9" customFormat="1" ht="27" customHeight="1">
      <c r="A115" s="29" t="s">
        <v>848</v>
      </c>
      <c r="B115" s="227" t="s">
        <v>769</v>
      </c>
      <c r="C115" s="12" t="s">
        <v>12</v>
      </c>
      <c r="D115" s="48">
        <v>2</v>
      </c>
    </row>
    <row r="116" spans="1:4" s="9" customFormat="1" ht="26.25" customHeight="1">
      <c r="A116" s="29" t="s">
        <v>849</v>
      </c>
      <c r="B116" s="227" t="s">
        <v>770</v>
      </c>
      <c r="C116" s="12" t="s">
        <v>12</v>
      </c>
      <c r="D116" s="48">
        <v>8</v>
      </c>
    </row>
    <row r="117" spans="1:4" s="9" customFormat="1" ht="24.75" customHeight="1">
      <c r="A117" s="29" t="s">
        <v>850</v>
      </c>
      <c r="B117" s="227" t="s">
        <v>771</v>
      </c>
      <c r="C117" s="12" t="s">
        <v>12</v>
      </c>
      <c r="D117" s="48">
        <v>16</v>
      </c>
    </row>
    <row r="118" spans="1:4" s="9" customFormat="1" ht="27" customHeight="1">
      <c r="A118" s="29" t="s">
        <v>851</v>
      </c>
      <c r="B118" s="227" t="s">
        <v>772</v>
      </c>
      <c r="C118" s="12" t="s">
        <v>12</v>
      </c>
      <c r="D118" s="48">
        <v>18</v>
      </c>
    </row>
    <row r="119" spans="1:4" s="9" customFormat="1" ht="28.5" customHeight="1">
      <c r="A119" s="29" t="s">
        <v>852</v>
      </c>
      <c r="B119" s="235" t="s">
        <v>773</v>
      </c>
      <c r="C119" s="189" t="s">
        <v>12</v>
      </c>
      <c r="D119" s="190">
        <v>16</v>
      </c>
    </row>
    <row r="120" spans="1:4" s="9" customFormat="1" ht="24.75" customHeight="1">
      <c r="A120" s="29" t="s">
        <v>853</v>
      </c>
      <c r="B120" s="227" t="s">
        <v>774</v>
      </c>
      <c r="C120" s="12" t="s">
        <v>12</v>
      </c>
      <c r="D120" s="48">
        <v>4</v>
      </c>
    </row>
    <row r="121" spans="1:4" s="9" customFormat="1" ht="25.5">
      <c r="A121" s="29">
        <v>6</v>
      </c>
      <c r="B121" s="517" t="s">
        <v>1339</v>
      </c>
      <c r="C121" s="113" t="s">
        <v>175</v>
      </c>
      <c r="D121" s="112">
        <v>1</v>
      </c>
    </row>
    <row r="122" spans="1:4" s="9" customFormat="1" ht="12.75">
      <c r="A122" s="12">
        <v>7</v>
      </c>
      <c r="B122" s="230" t="s">
        <v>751</v>
      </c>
      <c r="C122" s="113" t="s">
        <v>175</v>
      </c>
      <c r="D122" s="112">
        <v>1</v>
      </c>
    </row>
    <row r="123" spans="1:4" s="9" customFormat="1" ht="12.75">
      <c r="A123" s="29">
        <v>8</v>
      </c>
      <c r="B123" s="230" t="s">
        <v>1341</v>
      </c>
      <c r="C123" s="113" t="s">
        <v>175</v>
      </c>
      <c r="D123" s="112">
        <v>1</v>
      </c>
    </row>
    <row r="124" spans="1:4" s="9" customFormat="1" ht="15.75" customHeight="1">
      <c r="A124" s="12">
        <v>9</v>
      </c>
      <c r="B124" s="231" t="s">
        <v>768</v>
      </c>
      <c r="C124" s="12" t="s">
        <v>760</v>
      </c>
      <c r="D124" s="48">
        <f>D113</f>
        <v>1</v>
      </c>
    </row>
    <row r="125" spans="1:4" s="9" customFormat="1" ht="12.75">
      <c r="A125" s="29">
        <v>10</v>
      </c>
      <c r="B125" s="191" t="s">
        <v>792</v>
      </c>
      <c r="C125" s="192" t="s">
        <v>3</v>
      </c>
      <c r="D125" s="193">
        <v>1</v>
      </c>
    </row>
    <row r="126" spans="1:4" s="9" customFormat="1" ht="16.5">
      <c r="A126" s="12">
        <v>11</v>
      </c>
      <c r="B126" s="194" t="s">
        <v>793</v>
      </c>
      <c r="C126" s="195" t="s">
        <v>794</v>
      </c>
      <c r="D126" s="196">
        <f>ROUND((D115+D116+D117+D118+D119+D120)/100,2)</f>
        <v>0.64</v>
      </c>
    </row>
    <row r="127" spans="1:4" s="9" customFormat="1" ht="12.75">
      <c r="A127" s="29">
        <v>12</v>
      </c>
      <c r="B127" s="51" t="s">
        <v>406</v>
      </c>
      <c r="C127" s="50" t="s">
        <v>3</v>
      </c>
      <c r="D127" s="52">
        <v>1</v>
      </c>
    </row>
    <row r="128" spans="1:4" s="9" customFormat="1" ht="12.75">
      <c r="A128" s="19" t="s">
        <v>0</v>
      </c>
      <c r="B128" s="20" t="s">
        <v>1</v>
      </c>
      <c r="C128" s="13"/>
      <c r="D128" s="28"/>
    </row>
    <row r="129" spans="1:4" s="9" customFormat="1" ht="153">
      <c r="A129" s="19"/>
      <c r="B129" s="8" t="s">
        <v>1466</v>
      </c>
      <c r="C129" s="13" t="s">
        <v>2</v>
      </c>
      <c r="D129" s="28">
        <v>1</v>
      </c>
    </row>
    <row r="130" spans="1:4" ht="15.75">
      <c r="A130" s="4"/>
      <c r="B130" s="555" t="s">
        <v>13</v>
      </c>
      <c r="C130" s="556"/>
      <c r="D130" s="5"/>
    </row>
    <row r="131" spans="2:4" ht="15.75">
      <c r="B131" s="2"/>
      <c r="C131" s="2"/>
      <c r="D131" s="2"/>
    </row>
    <row r="132" spans="1:4" ht="15.75">
      <c r="A132" s="287" t="s">
        <v>14</v>
      </c>
      <c r="B132" s="288"/>
      <c r="C132" s="286"/>
      <c r="D132" s="286"/>
    </row>
    <row r="133" spans="1:4" ht="15.75">
      <c r="A133" s="289"/>
      <c r="B133" s="290" t="s">
        <v>4</v>
      </c>
      <c r="C133" s="286"/>
      <c r="D133" s="286"/>
    </row>
    <row r="134" spans="1:4" ht="15.75">
      <c r="A134" s="289"/>
      <c r="B134" s="291"/>
      <c r="C134" s="286"/>
      <c r="D134" s="286"/>
    </row>
    <row r="135" spans="1:4" ht="15.75">
      <c r="A135" s="287" t="s">
        <v>6</v>
      </c>
      <c r="B135" s="288"/>
      <c r="C135" s="286"/>
      <c r="D135" s="286"/>
    </row>
    <row r="136" spans="1:4" ht="15.75">
      <c r="A136" s="289"/>
      <c r="B136" s="290" t="s">
        <v>4</v>
      </c>
      <c r="C136" s="286"/>
      <c r="D136" s="286"/>
    </row>
    <row r="137" spans="1:4" ht="15.75">
      <c r="A137" s="289" t="s">
        <v>5</v>
      </c>
      <c r="B137" s="351"/>
      <c r="C137" s="286"/>
      <c r="D137" s="286"/>
    </row>
  </sheetData>
  <sheetProtection/>
  <mergeCells count="10">
    <mergeCell ref="B130:C130"/>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0000"/>
  </sheetPr>
  <dimension ref="A1:D61"/>
  <sheetViews>
    <sheetView showZeros="0" view="pageBreakPreview" zoomScale="130" zoomScaleSheetLayoutView="130" zoomScalePageLayoutView="0" workbookViewId="0" topLeftCell="A37">
      <selection activeCell="B53" sqref="B53"/>
    </sheetView>
  </sheetViews>
  <sheetFormatPr defaultColWidth="11.421875" defaultRowHeight="15"/>
  <cols>
    <col min="1" max="1" width="8.57421875" style="3" customWidth="1"/>
    <col min="2" max="2" width="53.421875" style="3" customWidth="1"/>
    <col min="3" max="3" width="12.00390625" style="3" customWidth="1"/>
    <col min="4" max="4" width="12.00390625" style="25" customWidth="1"/>
    <col min="5" max="16384" width="11.421875" style="2" customWidth="1"/>
  </cols>
  <sheetData>
    <row r="1" spans="1:4" ht="15.75">
      <c r="A1" s="544" t="s">
        <v>1518</v>
      </c>
      <c r="B1" s="544"/>
      <c r="C1" s="544"/>
      <c r="D1" s="544"/>
    </row>
    <row r="2" spans="1:4" ht="18" customHeight="1">
      <c r="A2" s="545" t="s">
        <v>447</v>
      </c>
      <c r="B2" s="545"/>
      <c r="C2" s="545"/>
      <c r="D2" s="545"/>
    </row>
    <row r="3" spans="1:4" ht="15.75" customHeight="1">
      <c r="A3" s="546" t="s">
        <v>1452</v>
      </c>
      <c r="B3" s="546"/>
      <c r="C3" s="546"/>
      <c r="D3" s="546"/>
    </row>
    <row r="4" spans="1:4" ht="15.75">
      <c r="A4" s="124"/>
      <c r="B4" s="124"/>
      <c r="C4" s="124"/>
      <c r="D4" s="124"/>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75">
      <c r="A9" s="558"/>
      <c r="B9" s="558"/>
      <c r="C9" s="558"/>
      <c r="D9" s="558"/>
    </row>
    <row r="10" spans="1:4" ht="15.75">
      <c r="A10" s="550" t="s">
        <v>1517</v>
      </c>
      <c r="B10" s="550"/>
      <c r="C10" s="557"/>
      <c r="D10" s="557"/>
    </row>
    <row r="11" spans="1:4" ht="16.5">
      <c r="A11" s="215"/>
      <c r="B11" s="215"/>
      <c r="C11" s="215"/>
      <c r="D11" s="215"/>
    </row>
    <row r="12" spans="1:4" ht="48" customHeight="1">
      <c r="A12" s="309" t="s">
        <v>886</v>
      </c>
      <c r="B12" s="299" t="s">
        <v>1455</v>
      </c>
      <c r="C12" s="309" t="s">
        <v>1464</v>
      </c>
      <c r="D12" s="299" t="s">
        <v>1465</v>
      </c>
    </row>
    <row r="13" spans="1:4" ht="15.75">
      <c r="A13" s="260">
        <v>1</v>
      </c>
      <c r="B13" s="260">
        <v>2</v>
      </c>
      <c r="C13" s="260">
        <v>3</v>
      </c>
      <c r="D13" s="260">
        <v>4</v>
      </c>
    </row>
    <row r="14" spans="1:4" s="9" customFormat="1" ht="12.75">
      <c r="A14" s="53" t="s">
        <v>20</v>
      </c>
      <c r="B14" s="54" t="s">
        <v>408</v>
      </c>
      <c r="C14" s="54"/>
      <c r="D14" s="55"/>
    </row>
    <row r="15" spans="1:4" s="9" customFormat="1" ht="12.75">
      <c r="A15" s="53" t="s">
        <v>21</v>
      </c>
      <c r="B15" s="56" t="s">
        <v>1601</v>
      </c>
      <c r="C15" s="57" t="s">
        <v>175</v>
      </c>
      <c r="D15" s="58">
        <v>1</v>
      </c>
    </row>
    <row r="16" spans="1:4" s="9" customFormat="1" ht="12.75">
      <c r="A16" s="53" t="s">
        <v>240</v>
      </c>
      <c r="B16" s="59" t="s">
        <v>409</v>
      </c>
      <c r="C16" s="57" t="s">
        <v>175</v>
      </c>
      <c r="D16" s="60">
        <v>11</v>
      </c>
    </row>
    <row r="17" spans="1:4" s="9" customFormat="1" ht="12.75">
      <c r="A17" s="53" t="s">
        <v>241</v>
      </c>
      <c r="B17" s="59" t="s">
        <v>410</v>
      </c>
      <c r="C17" s="61" t="s">
        <v>61</v>
      </c>
      <c r="D17" s="60">
        <f>D16+D15</f>
        <v>12</v>
      </c>
    </row>
    <row r="18" spans="1:4" s="9" customFormat="1" ht="12.75">
      <c r="A18" s="53" t="s">
        <v>242</v>
      </c>
      <c r="B18" s="59" t="s">
        <v>411</v>
      </c>
      <c r="C18" s="61" t="s">
        <v>61</v>
      </c>
      <c r="D18" s="60">
        <v>15</v>
      </c>
    </row>
    <row r="19" spans="1:4" s="9" customFormat="1" ht="25.5">
      <c r="A19" s="53" t="s">
        <v>243</v>
      </c>
      <c r="B19" s="59" t="s">
        <v>412</v>
      </c>
      <c r="C19" s="61" t="s">
        <v>61</v>
      </c>
      <c r="D19" s="60">
        <v>76</v>
      </c>
    </row>
    <row r="20" spans="1:4" s="9" customFormat="1" ht="12.75">
      <c r="A20" s="53" t="s">
        <v>413</v>
      </c>
      <c r="B20" s="59" t="s">
        <v>414</v>
      </c>
      <c r="C20" s="61" t="s">
        <v>175</v>
      </c>
      <c r="D20" s="60">
        <v>1</v>
      </c>
    </row>
    <row r="21" spans="1:4" s="9" customFormat="1" ht="12.75">
      <c r="A21" s="19"/>
      <c r="B21" s="62" t="s">
        <v>415</v>
      </c>
      <c r="C21" s="61"/>
      <c r="D21" s="60"/>
    </row>
    <row r="22" spans="1:4" s="9" customFormat="1" ht="25.5">
      <c r="A22" s="19"/>
      <c r="B22" s="62" t="s">
        <v>1605</v>
      </c>
      <c r="C22" s="61"/>
      <c r="D22" s="60"/>
    </row>
    <row r="23" spans="1:4" s="9" customFormat="1" ht="12.75">
      <c r="A23" s="19"/>
      <c r="B23" s="62" t="s">
        <v>1604</v>
      </c>
      <c r="C23" s="61"/>
      <c r="D23" s="60"/>
    </row>
    <row r="24" spans="1:4" s="9" customFormat="1" ht="12.75">
      <c r="A24" s="19"/>
      <c r="B24" s="62" t="s">
        <v>1603</v>
      </c>
      <c r="C24" s="61"/>
      <c r="D24" s="60"/>
    </row>
    <row r="25" spans="1:4" s="9" customFormat="1" ht="12.75">
      <c r="A25" s="19"/>
      <c r="B25" s="62" t="s">
        <v>416</v>
      </c>
      <c r="C25" s="61"/>
      <c r="D25" s="60"/>
    </row>
    <row r="26" spans="1:4" s="9" customFormat="1" ht="12.75">
      <c r="A26" s="19"/>
      <c r="B26" s="62" t="s">
        <v>417</v>
      </c>
      <c r="C26" s="61"/>
      <c r="D26" s="60"/>
    </row>
    <row r="27" spans="1:4" s="9" customFormat="1" ht="12.75">
      <c r="A27" s="19"/>
      <c r="B27" s="62" t="s">
        <v>418</v>
      </c>
      <c r="C27" s="61"/>
      <c r="D27" s="60"/>
    </row>
    <row r="28" spans="1:4" s="9" customFormat="1" ht="12.75">
      <c r="A28" s="19"/>
      <c r="B28" s="62" t="s">
        <v>419</v>
      </c>
      <c r="C28" s="61"/>
      <c r="D28" s="60"/>
    </row>
    <row r="29" spans="1:4" s="9" customFormat="1" ht="12.75">
      <c r="A29" s="19"/>
      <c r="B29" s="62" t="s">
        <v>420</v>
      </c>
      <c r="C29" s="61"/>
      <c r="D29" s="60"/>
    </row>
    <row r="30" spans="1:4" s="9" customFormat="1" ht="12.75">
      <c r="A30" s="19"/>
      <c r="B30" s="62" t="s">
        <v>1602</v>
      </c>
      <c r="C30" s="61"/>
      <c r="D30" s="60"/>
    </row>
    <row r="31" spans="1:4" s="9" customFormat="1" ht="12.75">
      <c r="A31" s="19"/>
      <c r="B31" s="62" t="s">
        <v>421</v>
      </c>
      <c r="C31" s="61"/>
      <c r="D31" s="60"/>
    </row>
    <row r="32" spans="1:4" s="9" customFormat="1" ht="12.75">
      <c r="A32" s="19"/>
      <c r="B32" s="62" t="s">
        <v>422</v>
      </c>
      <c r="C32" s="61"/>
      <c r="D32" s="60"/>
    </row>
    <row r="33" spans="1:4" s="49" customFormat="1" ht="12.75">
      <c r="A33" s="53" t="s">
        <v>423</v>
      </c>
      <c r="B33" s="59" t="s">
        <v>424</v>
      </c>
      <c r="C33" s="61" t="s">
        <v>61</v>
      </c>
      <c r="D33" s="60">
        <v>17</v>
      </c>
    </row>
    <row r="34" spans="1:4" s="9" customFormat="1" ht="12.75">
      <c r="A34" s="53" t="s">
        <v>425</v>
      </c>
      <c r="B34" s="59" t="s">
        <v>426</v>
      </c>
      <c r="C34" s="61" t="s">
        <v>61</v>
      </c>
      <c r="D34" s="60">
        <v>1</v>
      </c>
    </row>
    <row r="35" spans="1:4" s="9" customFormat="1" ht="12.75">
      <c r="A35" s="53" t="s">
        <v>427</v>
      </c>
      <c r="B35" s="59" t="s">
        <v>428</v>
      </c>
      <c r="C35" s="61" t="s">
        <v>61</v>
      </c>
      <c r="D35" s="60">
        <v>1</v>
      </c>
    </row>
    <row r="36" spans="1:4" s="9" customFormat="1" ht="12.75">
      <c r="A36" s="53" t="s">
        <v>429</v>
      </c>
      <c r="B36" s="59" t="s">
        <v>1685</v>
      </c>
      <c r="C36" s="61" t="s">
        <v>175</v>
      </c>
      <c r="D36" s="60">
        <v>1</v>
      </c>
    </row>
    <row r="37" spans="1:4" s="9" customFormat="1" ht="12.75">
      <c r="A37" s="53" t="s">
        <v>430</v>
      </c>
      <c r="B37" s="59" t="s">
        <v>431</v>
      </c>
      <c r="C37" s="61" t="s">
        <v>309</v>
      </c>
      <c r="D37" s="60">
        <f>(D19+D33)*60</f>
        <v>5580</v>
      </c>
    </row>
    <row r="38" spans="1:4" s="9" customFormat="1" ht="12.75">
      <c r="A38" s="53" t="s">
        <v>432</v>
      </c>
      <c r="B38" s="59" t="s">
        <v>433</v>
      </c>
      <c r="C38" s="61" t="s">
        <v>309</v>
      </c>
      <c r="D38" s="60">
        <v>1500</v>
      </c>
    </row>
    <row r="39" spans="1:4" s="9" customFormat="1" ht="12.75">
      <c r="A39" s="53" t="s">
        <v>434</v>
      </c>
      <c r="B39" s="59" t="s">
        <v>435</v>
      </c>
      <c r="C39" s="61" t="s">
        <v>309</v>
      </c>
      <c r="D39" s="60">
        <v>400</v>
      </c>
    </row>
    <row r="40" spans="1:4" s="9" customFormat="1" ht="12.75">
      <c r="A40" s="53" t="s">
        <v>436</v>
      </c>
      <c r="B40" s="59" t="s">
        <v>437</v>
      </c>
      <c r="C40" s="61" t="s">
        <v>309</v>
      </c>
      <c r="D40" s="60">
        <v>100</v>
      </c>
    </row>
    <row r="41" spans="1:4" s="9" customFormat="1" ht="25.5">
      <c r="A41" s="53" t="s">
        <v>438</v>
      </c>
      <c r="B41" s="70" t="s">
        <v>1342</v>
      </c>
      <c r="C41" s="61" t="s">
        <v>61</v>
      </c>
      <c r="D41" s="60">
        <v>1</v>
      </c>
    </row>
    <row r="42" spans="1:4" s="9" customFormat="1" ht="12.75">
      <c r="A42" s="53" t="s">
        <v>439</v>
      </c>
      <c r="B42" s="63" t="s">
        <v>440</v>
      </c>
      <c r="C42" s="64" t="s">
        <v>175</v>
      </c>
      <c r="D42" s="65">
        <v>1</v>
      </c>
    </row>
    <row r="43" spans="1:4" s="9" customFormat="1" ht="12.75">
      <c r="A43" s="19" t="s">
        <v>34</v>
      </c>
      <c r="B43" s="54" t="s">
        <v>441</v>
      </c>
      <c r="C43" s="54"/>
      <c r="D43" s="55"/>
    </row>
    <row r="44" spans="1:4" s="9" customFormat="1" ht="12.75">
      <c r="A44" s="53" t="s">
        <v>22</v>
      </c>
      <c r="B44" s="56" t="s">
        <v>442</v>
      </c>
      <c r="C44" s="57" t="s">
        <v>61</v>
      </c>
      <c r="D44" s="58">
        <v>11</v>
      </c>
    </row>
    <row r="45" spans="1:4" s="9" customFormat="1" ht="12.75">
      <c r="A45" s="53" t="s">
        <v>23</v>
      </c>
      <c r="B45" s="59" t="s">
        <v>424</v>
      </c>
      <c r="C45" s="61" t="s">
        <v>61</v>
      </c>
      <c r="D45" s="60">
        <v>11</v>
      </c>
    </row>
    <row r="46" spans="1:4" s="9" customFormat="1" ht="12.75">
      <c r="A46" s="53" t="s">
        <v>24</v>
      </c>
      <c r="B46" s="59" t="s">
        <v>443</v>
      </c>
      <c r="C46" s="61" t="s">
        <v>175</v>
      </c>
      <c r="D46" s="60">
        <v>9</v>
      </c>
    </row>
    <row r="47" spans="1:4" s="9" customFormat="1" ht="12.75">
      <c r="A47" s="53" t="s">
        <v>25</v>
      </c>
      <c r="B47" s="59" t="s">
        <v>410</v>
      </c>
      <c r="C47" s="61" t="s">
        <v>61</v>
      </c>
      <c r="D47" s="60">
        <f>D46</f>
        <v>9</v>
      </c>
    </row>
    <row r="48" spans="1:4" s="9" customFormat="1" ht="12.75">
      <c r="A48" s="53" t="s">
        <v>26</v>
      </c>
      <c r="B48" s="59" t="s">
        <v>444</v>
      </c>
      <c r="C48" s="61" t="s">
        <v>61</v>
      </c>
      <c r="D48" s="60">
        <v>10</v>
      </c>
    </row>
    <row r="49" spans="1:4" s="9" customFormat="1" ht="12.75">
      <c r="A49" s="19" t="s">
        <v>28</v>
      </c>
      <c r="B49" s="66" t="s">
        <v>445</v>
      </c>
      <c r="C49" s="61" t="s">
        <v>175</v>
      </c>
      <c r="D49" s="60">
        <v>1</v>
      </c>
    </row>
    <row r="50" spans="1:4" s="9" customFormat="1" ht="12.75">
      <c r="A50" s="19" t="s">
        <v>16</v>
      </c>
      <c r="B50" s="236" t="s">
        <v>446</v>
      </c>
      <c r="C50" s="61" t="s">
        <v>175</v>
      </c>
      <c r="D50" s="60">
        <v>1</v>
      </c>
    </row>
    <row r="51" spans="1:4" s="9" customFormat="1" ht="12.75">
      <c r="A51" s="19" t="s">
        <v>48</v>
      </c>
      <c r="B51" s="59" t="s">
        <v>406</v>
      </c>
      <c r="C51" s="61" t="s">
        <v>175</v>
      </c>
      <c r="D51" s="60">
        <v>1</v>
      </c>
    </row>
    <row r="52" spans="1:4" s="9" customFormat="1" ht="12.75">
      <c r="A52" s="19" t="s">
        <v>0</v>
      </c>
      <c r="B52" s="20" t="s">
        <v>1</v>
      </c>
      <c r="C52" s="13"/>
      <c r="D52" s="28"/>
    </row>
    <row r="53" spans="1:4" s="9" customFormat="1" ht="140.25">
      <c r="A53" s="19"/>
      <c r="B53" s="8" t="s">
        <v>1454</v>
      </c>
      <c r="C53" s="13" t="s">
        <v>2</v>
      </c>
      <c r="D53" s="28">
        <v>1</v>
      </c>
    </row>
    <row r="54" spans="1:4" ht="15.75">
      <c r="A54" s="4"/>
      <c r="B54" s="555" t="s">
        <v>13</v>
      </c>
      <c r="C54" s="556"/>
      <c r="D54" s="5"/>
    </row>
    <row r="55" spans="2:4" ht="15.75">
      <c r="B55" s="2"/>
      <c r="C55" s="2"/>
      <c r="D55" s="2"/>
    </row>
    <row r="56" spans="1:4" ht="15.75">
      <c r="A56" s="287" t="s">
        <v>14</v>
      </c>
      <c r="B56" s="288"/>
      <c r="C56" s="286"/>
      <c r="D56" s="286"/>
    </row>
    <row r="57" spans="1:4" ht="15.75">
      <c r="A57" s="289"/>
      <c r="B57" s="290" t="s">
        <v>4</v>
      </c>
      <c r="C57" s="286"/>
      <c r="D57" s="286"/>
    </row>
    <row r="58" spans="1:4" ht="15.75">
      <c r="A58" s="289"/>
      <c r="B58" s="291"/>
      <c r="C58" s="286"/>
      <c r="D58" s="286"/>
    </row>
    <row r="59" spans="1:4" ht="15.75">
      <c r="A59" s="287" t="s">
        <v>6</v>
      </c>
      <c r="B59" s="288"/>
      <c r="C59" s="286"/>
      <c r="D59" s="286"/>
    </row>
    <row r="60" spans="1:4" ht="15.75">
      <c r="A60" s="289"/>
      <c r="B60" s="290" t="s">
        <v>4</v>
      </c>
      <c r="C60" s="286"/>
      <c r="D60" s="286"/>
    </row>
    <row r="61" spans="1:4" ht="15.75">
      <c r="A61" s="289" t="s">
        <v>5</v>
      </c>
      <c r="B61" s="351"/>
      <c r="C61" s="286"/>
      <c r="D61" s="286"/>
    </row>
  </sheetData>
  <sheetProtection/>
  <mergeCells count="10">
    <mergeCell ref="B54:C54"/>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0000"/>
  </sheetPr>
  <dimension ref="A1:D79"/>
  <sheetViews>
    <sheetView showZeros="0" view="pageBreakPreview" zoomScale="130" zoomScaleSheetLayoutView="130" zoomScalePageLayoutView="0" workbookViewId="0" topLeftCell="A58">
      <selection activeCell="J58" sqref="J58"/>
    </sheetView>
  </sheetViews>
  <sheetFormatPr defaultColWidth="11.421875" defaultRowHeight="15"/>
  <cols>
    <col min="1" max="1" width="9.00390625" style="3" customWidth="1"/>
    <col min="2" max="2" width="51.140625" style="3" customWidth="1"/>
    <col min="3" max="3" width="12.7109375" style="3" customWidth="1"/>
    <col min="4" max="4" width="10.8515625" style="25" customWidth="1"/>
    <col min="5" max="16384" width="11.421875" style="2" customWidth="1"/>
  </cols>
  <sheetData>
    <row r="1" spans="1:4" ht="15.75">
      <c r="A1" s="544" t="s">
        <v>1520</v>
      </c>
      <c r="B1" s="544"/>
      <c r="C1" s="544"/>
      <c r="D1" s="544"/>
    </row>
    <row r="2" spans="1:4" ht="18" customHeight="1">
      <c r="A2" s="545" t="s">
        <v>448</v>
      </c>
      <c r="B2" s="545"/>
      <c r="C2" s="545"/>
      <c r="D2" s="545"/>
    </row>
    <row r="3" spans="1:4" ht="15.75" customHeight="1">
      <c r="A3" s="546" t="s">
        <v>1452</v>
      </c>
      <c r="B3" s="546"/>
      <c r="C3" s="546"/>
      <c r="D3" s="546"/>
    </row>
    <row r="4" spans="1:4" s="264" customFormat="1" ht="30.75" customHeight="1">
      <c r="A4" s="547" t="s">
        <v>1458</v>
      </c>
      <c r="B4" s="548"/>
      <c r="C4" s="548"/>
      <c r="D4" s="548"/>
    </row>
    <row r="5" spans="1:4" s="264" customFormat="1" ht="31.5" customHeight="1">
      <c r="A5" s="547" t="s">
        <v>1473</v>
      </c>
      <c r="B5" s="548"/>
      <c r="C5" s="548"/>
      <c r="D5" s="548"/>
    </row>
    <row r="6" spans="1:4" s="264" customFormat="1" ht="12.75">
      <c r="A6" s="549" t="s">
        <v>1459</v>
      </c>
      <c r="B6" s="550"/>
      <c r="C6" s="550"/>
      <c r="D6" s="550"/>
    </row>
    <row r="7" spans="1:4" s="264" customFormat="1" ht="12.75">
      <c r="A7" s="296" t="s">
        <v>1460</v>
      </c>
      <c r="B7" s="297"/>
      <c r="C7" s="297"/>
      <c r="D7" s="297"/>
    </row>
    <row r="8" spans="1:4" s="264" customFormat="1" ht="12.75">
      <c r="A8" s="296"/>
      <c r="B8" s="297"/>
      <c r="C8" s="297"/>
      <c r="D8" s="297"/>
    </row>
    <row r="9" spans="1:4" ht="15.75">
      <c r="A9" s="550" t="s">
        <v>1517</v>
      </c>
      <c r="B9" s="550"/>
      <c r="C9" s="550"/>
      <c r="D9" s="550"/>
    </row>
    <row r="10" spans="1:4" ht="15.75">
      <c r="A10" s="297"/>
      <c r="B10" s="297"/>
      <c r="C10" s="297"/>
      <c r="D10" s="297"/>
    </row>
    <row r="11" spans="1:4" ht="45.75" customHeight="1">
      <c r="A11" s="309" t="s">
        <v>886</v>
      </c>
      <c r="B11" s="299" t="s">
        <v>1455</v>
      </c>
      <c r="C11" s="309" t="s">
        <v>1464</v>
      </c>
      <c r="D11" s="299" t="s">
        <v>1465</v>
      </c>
    </row>
    <row r="12" spans="1:4" ht="15.75">
      <c r="A12" s="260">
        <v>1</v>
      </c>
      <c r="B12" s="260">
        <v>2</v>
      </c>
      <c r="C12" s="260">
        <v>3</v>
      </c>
      <c r="D12" s="260">
        <v>4</v>
      </c>
    </row>
    <row r="13" spans="1:4" s="9" customFormat="1" ht="12.75">
      <c r="A13" s="19"/>
      <c r="B13" s="54" t="s">
        <v>449</v>
      </c>
      <c r="C13" s="54"/>
      <c r="D13" s="55"/>
    </row>
    <row r="14" spans="1:4" s="9" customFormat="1" ht="12.75">
      <c r="A14" s="53" t="s">
        <v>27</v>
      </c>
      <c r="B14" s="67" t="s">
        <v>450</v>
      </c>
      <c r="C14" s="68" t="s">
        <v>61</v>
      </c>
      <c r="D14" s="69">
        <v>3</v>
      </c>
    </row>
    <row r="15" spans="1:4" s="9" customFormat="1" ht="12.75">
      <c r="A15" s="53" t="s">
        <v>34</v>
      </c>
      <c r="B15" s="70" t="s">
        <v>451</v>
      </c>
      <c r="C15" s="68" t="s">
        <v>61</v>
      </c>
      <c r="D15" s="71">
        <v>2</v>
      </c>
    </row>
    <row r="16" spans="1:4" s="9" customFormat="1" ht="12.75">
      <c r="A16" s="53" t="s">
        <v>28</v>
      </c>
      <c r="B16" s="70" t="s">
        <v>452</v>
      </c>
      <c r="C16" s="72" t="s">
        <v>175</v>
      </c>
      <c r="D16" s="71">
        <f>D14+D15</f>
        <v>5</v>
      </c>
    </row>
    <row r="17" spans="1:4" s="9" customFormat="1" ht="12.75">
      <c r="A17" s="53" t="s">
        <v>16</v>
      </c>
      <c r="B17" s="70" t="s">
        <v>453</v>
      </c>
      <c r="C17" s="72" t="s">
        <v>61</v>
      </c>
      <c r="D17" s="71">
        <f>D14+D15</f>
        <v>5</v>
      </c>
    </row>
    <row r="18" spans="1:4" s="9" customFormat="1" ht="25.5">
      <c r="A18" s="53" t="s">
        <v>48</v>
      </c>
      <c r="B18" s="70" t="s">
        <v>454</v>
      </c>
      <c r="C18" s="72" t="s">
        <v>61</v>
      </c>
      <c r="D18" s="71">
        <f>D14</f>
        <v>3</v>
      </c>
    </row>
    <row r="19" spans="1:4" s="9" customFormat="1" ht="25.5">
      <c r="A19" s="53" t="s">
        <v>17</v>
      </c>
      <c r="B19" s="70" t="s">
        <v>455</v>
      </c>
      <c r="C19" s="72" t="s">
        <v>61</v>
      </c>
      <c r="D19" s="71">
        <f>D15</f>
        <v>2</v>
      </c>
    </row>
    <row r="20" spans="1:4" s="9" customFormat="1" ht="12.75">
      <c r="A20" s="53" t="s">
        <v>18</v>
      </c>
      <c r="B20" s="70" t="s">
        <v>456</v>
      </c>
      <c r="C20" s="72" t="s">
        <v>61</v>
      </c>
      <c r="D20" s="71">
        <v>12</v>
      </c>
    </row>
    <row r="21" spans="1:4" s="9" customFormat="1" ht="12.75">
      <c r="A21" s="53" t="s">
        <v>19</v>
      </c>
      <c r="B21" s="70" t="s">
        <v>457</v>
      </c>
      <c r="C21" s="61" t="s">
        <v>175</v>
      </c>
      <c r="D21" s="71">
        <v>4</v>
      </c>
    </row>
    <row r="22" spans="1:4" s="9" customFormat="1" ht="12.75">
      <c r="A22" s="53" t="s">
        <v>403</v>
      </c>
      <c r="B22" s="70" t="s">
        <v>458</v>
      </c>
      <c r="C22" s="61" t="s">
        <v>175</v>
      </c>
      <c r="D22" s="71">
        <v>1</v>
      </c>
    </row>
    <row r="23" spans="1:4" s="9" customFormat="1" ht="12.75">
      <c r="A23" s="53" t="s">
        <v>404</v>
      </c>
      <c r="B23" s="70" t="s">
        <v>459</v>
      </c>
      <c r="C23" s="72" t="s">
        <v>61</v>
      </c>
      <c r="D23" s="71">
        <f>D22*24+D21*12</f>
        <v>72</v>
      </c>
    </row>
    <row r="24" spans="1:4" s="9" customFormat="1" ht="12.75">
      <c r="A24" s="53" t="s">
        <v>460</v>
      </c>
      <c r="B24" s="70" t="s">
        <v>461</v>
      </c>
      <c r="C24" s="72" t="s">
        <v>61</v>
      </c>
      <c r="D24" s="71">
        <v>45</v>
      </c>
    </row>
    <row r="25" spans="1:4" s="9" customFormat="1" ht="12.75">
      <c r="A25" s="53" t="s">
        <v>462</v>
      </c>
      <c r="B25" s="70" t="s">
        <v>463</v>
      </c>
      <c r="C25" s="72" t="s">
        <v>61</v>
      </c>
      <c r="D25" s="71">
        <v>6</v>
      </c>
    </row>
    <row r="26" spans="1:4" s="9" customFormat="1" ht="12.75">
      <c r="A26" s="53" t="s">
        <v>464</v>
      </c>
      <c r="B26" s="70" t="s">
        <v>465</v>
      </c>
      <c r="C26" s="72" t="s">
        <v>61</v>
      </c>
      <c r="D26" s="71">
        <v>5</v>
      </c>
    </row>
    <row r="27" spans="1:4" s="9" customFormat="1" ht="12.75">
      <c r="A27" s="53" t="s">
        <v>466</v>
      </c>
      <c r="B27" s="70" t="s">
        <v>467</v>
      </c>
      <c r="C27" s="72" t="s">
        <v>61</v>
      </c>
      <c r="D27" s="71">
        <v>5</v>
      </c>
    </row>
    <row r="28" spans="1:4" s="9" customFormat="1" ht="25.5">
      <c r="A28" s="53" t="s">
        <v>468</v>
      </c>
      <c r="B28" s="70" t="s">
        <v>469</v>
      </c>
      <c r="C28" s="61" t="s">
        <v>175</v>
      </c>
      <c r="D28" s="71">
        <v>8</v>
      </c>
    </row>
    <row r="29" spans="1:4" s="9" customFormat="1" ht="25.5">
      <c r="A29" s="53" t="s">
        <v>470</v>
      </c>
      <c r="B29" s="70" t="s">
        <v>471</v>
      </c>
      <c r="C29" s="61" t="s">
        <v>175</v>
      </c>
      <c r="D29" s="71">
        <v>112</v>
      </c>
    </row>
    <row r="30" spans="1:4" s="9" customFormat="1" ht="12.75">
      <c r="A30" s="53" t="s">
        <v>472</v>
      </c>
      <c r="B30" s="70" t="s">
        <v>473</v>
      </c>
      <c r="C30" s="72" t="s">
        <v>61</v>
      </c>
      <c r="D30" s="71">
        <f>D28+D29</f>
        <v>120</v>
      </c>
    </row>
    <row r="31" spans="1:4" s="9" customFormat="1" ht="12.75">
      <c r="A31" s="53" t="s">
        <v>474</v>
      </c>
      <c r="B31" s="70" t="s">
        <v>475</v>
      </c>
      <c r="C31" s="72" t="s">
        <v>61</v>
      </c>
      <c r="D31" s="71">
        <f>D30</f>
        <v>120</v>
      </c>
    </row>
    <row r="32" spans="1:4" s="9" customFormat="1" ht="12.75">
      <c r="A32" s="53" t="s">
        <v>476</v>
      </c>
      <c r="B32" s="70" t="s">
        <v>477</v>
      </c>
      <c r="C32" s="72" t="s">
        <v>61</v>
      </c>
      <c r="D32" s="71">
        <v>20</v>
      </c>
    </row>
    <row r="33" spans="1:4" s="9" customFormat="1" ht="12.75">
      <c r="A33" s="53" t="s">
        <v>478</v>
      </c>
      <c r="B33" s="70" t="s">
        <v>479</v>
      </c>
      <c r="C33" s="72" t="s">
        <v>309</v>
      </c>
      <c r="D33" s="71">
        <f>(D28+D29)*80</f>
        <v>9600</v>
      </c>
    </row>
    <row r="34" spans="1:4" s="9" customFormat="1" ht="12.75">
      <c r="A34" s="53" t="s">
        <v>480</v>
      </c>
      <c r="B34" s="70" t="s">
        <v>481</v>
      </c>
      <c r="C34" s="72" t="s">
        <v>309</v>
      </c>
      <c r="D34" s="71">
        <v>300</v>
      </c>
    </row>
    <row r="35" spans="1:4" s="9" customFormat="1" ht="12.75">
      <c r="A35" s="53" t="s">
        <v>482</v>
      </c>
      <c r="B35" s="70" t="s">
        <v>483</v>
      </c>
      <c r="C35" s="72" t="s">
        <v>309</v>
      </c>
      <c r="D35" s="71">
        <v>100</v>
      </c>
    </row>
    <row r="36" spans="1:4" s="9" customFormat="1" ht="12.75">
      <c r="A36" s="53" t="s">
        <v>484</v>
      </c>
      <c r="B36" s="70" t="s">
        <v>485</v>
      </c>
      <c r="C36" s="72" t="s">
        <v>309</v>
      </c>
      <c r="D36" s="71">
        <v>500</v>
      </c>
    </row>
    <row r="37" spans="1:4" s="9" customFormat="1" ht="12.75">
      <c r="A37" s="53" t="s">
        <v>486</v>
      </c>
      <c r="B37" s="70" t="s">
        <v>487</v>
      </c>
      <c r="C37" s="72" t="s">
        <v>61</v>
      </c>
      <c r="D37" s="71">
        <f>8*4</f>
        <v>32</v>
      </c>
    </row>
    <row r="38" spans="1:4" s="9" customFormat="1" ht="25.5">
      <c r="A38" s="53" t="s">
        <v>488</v>
      </c>
      <c r="B38" s="70" t="s">
        <v>1342</v>
      </c>
      <c r="C38" s="72" t="s">
        <v>61</v>
      </c>
      <c r="D38" s="71">
        <v>4</v>
      </c>
    </row>
    <row r="39" spans="1:4" s="9" customFormat="1" ht="12.75">
      <c r="A39" s="53" t="s">
        <v>489</v>
      </c>
      <c r="B39" s="70" t="s">
        <v>440</v>
      </c>
      <c r="C39" s="72" t="s">
        <v>175</v>
      </c>
      <c r="D39" s="71">
        <v>1</v>
      </c>
    </row>
    <row r="40" spans="1:4" s="9" customFormat="1" ht="12.75">
      <c r="A40" s="53" t="s">
        <v>490</v>
      </c>
      <c r="B40" s="70" t="s">
        <v>406</v>
      </c>
      <c r="C40" s="72" t="s">
        <v>175</v>
      </c>
      <c r="D40" s="71">
        <v>1</v>
      </c>
    </row>
    <row r="41" spans="1:4" s="9" customFormat="1" ht="12.75">
      <c r="A41" s="53" t="s">
        <v>491</v>
      </c>
      <c r="B41" s="73" t="s">
        <v>492</v>
      </c>
      <c r="C41" s="74" t="s">
        <v>175</v>
      </c>
      <c r="D41" s="75">
        <v>1</v>
      </c>
    </row>
    <row r="42" spans="1:4" s="9" customFormat="1" ht="12.75">
      <c r="A42" s="53"/>
      <c r="B42" s="54" t="s">
        <v>494</v>
      </c>
      <c r="C42" s="76"/>
      <c r="D42" s="77"/>
    </row>
    <row r="43" spans="1:4" s="9" customFormat="1" ht="12.75">
      <c r="A43" s="53" t="s">
        <v>493</v>
      </c>
      <c r="B43" s="67" t="s">
        <v>496</v>
      </c>
      <c r="C43" s="68" t="s">
        <v>61</v>
      </c>
      <c r="D43" s="69">
        <v>1</v>
      </c>
    </row>
    <row r="44" spans="1:4" s="9" customFormat="1" ht="12.75">
      <c r="A44" s="53" t="s">
        <v>495</v>
      </c>
      <c r="B44" s="70" t="s">
        <v>498</v>
      </c>
      <c r="C44" s="72" t="s">
        <v>61</v>
      </c>
      <c r="D44" s="71">
        <v>1</v>
      </c>
    </row>
    <row r="45" spans="1:4" s="9" customFormat="1" ht="12.75">
      <c r="A45" s="53" t="s">
        <v>497</v>
      </c>
      <c r="B45" s="70" t="s">
        <v>500</v>
      </c>
      <c r="C45" s="72" t="s">
        <v>61</v>
      </c>
      <c r="D45" s="71">
        <v>7</v>
      </c>
    </row>
    <row r="46" spans="1:4" s="9" customFormat="1" ht="12.75">
      <c r="A46" s="53" t="s">
        <v>499</v>
      </c>
      <c r="B46" s="70" t="s">
        <v>502</v>
      </c>
      <c r="C46" s="72" t="s">
        <v>61</v>
      </c>
      <c r="D46" s="71">
        <v>1</v>
      </c>
    </row>
    <row r="47" spans="1:4" s="9" customFormat="1" ht="25.5">
      <c r="A47" s="53" t="s">
        <v>501</v>
      </c>
      <c r="B47" s="70" t="s">
        <v>504</v>
      </c>
      <c r="C47" s="72" t="s">
        <v>61</v>
      </c>
      <c r="D47" s="71">
        <v>1</v>
      </c>
    </row>
    <row r="48" spans="1:4" s="9" customFormat="1" ht="12.75">
      <c r="A48" s="53" t="s">
        <v>503</v>
      </c>
      <c r="B48" s="73" t="s">
        <v>506</v>
      </c>
      <c r="C48" s="74" t="s">
        <v>175</v>
      </c>
      <c r="D48" s="75">
        <v>1</v>
      </c>
    </row>
    <row r="49" spans="1:4" s="9" customFormat="1" ht="12.75">
      <c r="A49" s="53"/>
      <c r="B49" s="54" t="s">
        <v>508</v>
      </c>
      <c r="C49" s="78"/>
      <c r="D49" s="79"/>
    </row>
    <row r="50" spans="1:4" s="9" customFormat="1" ht="12.75">
      <c r="A50" s="53" t="s">
        <v>505</v>
      </c>
      <c r="B50" s="80" t="s">
        <v>510</v>
      </c>
      <c r="C50" s="68" t="s">
        <v>61</v>
      </c>
      <c r="D50" s="81">
        <v>1</v>
      </c>
    </row>
    <row r="51" spans="1:4" s="9" customFormat="1" ht="12.75">
      <c r="A51" s="53" t="s">
        <v>507</v>
      </c>
      <c r="B51" s="82" t="s">
        <v>512</v>
      </c>
      <c r="C51" s="72" t="s">
        <v>61</v>
      </c>
      <c r="D51" s="83">
        <v>1</v>
      </c>
    </row>
    <row r="52" spans="1:4" s="9" customFormat="1" ht="12.75">
      <c r="A52" s="53" t="s">
        <v>509</v>
      </c>
      <c r="B52" s="82" t="s">
        <v>514</v>
      </c>
      <c r="C52" s="72" t="s">
        <v>61</v>
      </c>
      <c r="D52" s="83">
        <v>3</v>
      </c>
    </row>
    <row r="53" spans="1:4" s="9" customFormat="1" ht="12.75">
      <c r="A53" s="53" t="s">
        <v>511</v>
      </c>
      <c r="B53" s="82" t="s">
        <v>516</v>
      </c>
      <c r="C53" s="72" t="s">
        <v>61</v>
      </c>
      <c r="D53" s="83">
        <v>3</v>
      </c>
    </row>
    <row r="54" spans="1:4" s="9" customFormat="1" ht="12.75">
      <c r="A54" s="53" t="s">
        <v>513</v>
      </c>
      <c r="B54" s="82" t="s">
        <v>518</v>
      </c>
      <c r="C54" s="72" t="s">
        <v>61</v>
      </c>
      <c r="D54" s="83">
        <v>2</v>
      </c>
    </row>
    <row r="55" spans="1:4" s="9" customFormat="1" ht="12.75">
      <c r="A55" s="53" t="s">
        <v>515</v>
      </c>
      <c r="B55" s="70" t="s">
        <v>520</v>
      </c>
      <c r="C55" s="72" t="s">
        <v>61</v>
      </c>
      <c r="D55" s="83">
        <v>1</v>
      </c>
    </row>
    <row r="56" spans="1:4" s="9" customFormat="1" ht="12.75">
      <c r="A56" s="53" t="s">
        <v>517</v>
      </c>
      <c r="B56" s="84" t="s">
        <v>522</v>
      </c>
      <c r="C56" s="72" t="s">
        <v>61</v>
      </c>
      <c r="D56" s="83">
        <v>34</v>
      </c>
    </row>
    <row r="57" spans="1:4" s="9" customFormat="1" ht="12.75">
      <c r="A57" s="53" t="s">
        <v>519</v>
      </c>
      <c r="B57" s="84" t="s">
        <v>524</v>
      </c>
      <c r="C57" s="72" t="s">
        <v>61</v>
      </c>
      <c r="D57" s="83">
        <v>5</v>
      </c>
    </row>
    <row r="58" spans="1:4" s="9" customFormat="1" ht="165.75">
      <c r="A58" s="53" t="s">
        <v>521</v>
      </c>
      <c r="B58" s="70" t="s">
        <v>1686</v>
      </c>
      <c r="C58" s="72" t="s">
        <v>3</v>
      </c>
      <c r="D58" s="83">
        <v>1</v>
      </c>
    </row>
    <row r="59" spans="1:4" s="9" customFormat="1" ht="12.75">
      <c r="A59" s="53" t="s">
        <v>523</v>
      </c>
      <c r="B59" s="70" t="s">
        <v>440</v>
      </c>
      <c r="C59" s="72" t="s">
        <v>175</v>
      </c>
      <c r="D59" s="71">
        <v>1</v>
      </c>
    </row>
    <row r="60" spans="1:4" s="9" customFormat="1" ht="12.75">
      <c r="A60" s="53" t="s">
        <v>525</v>
      </c>
      <c r="B60" s="213" t="s">
        <v>406</v>
      </c>
      <c r="C60" s="72" t="s">
        <v>175</v>
      </c>
      <c r="D60" s="71">
        <v>1</v>
      </c>
    </row>
    <row r="61" spans="1:4" s="9" customFormat="1" ht="12.75">
      <c r="A61" s="53" t="s">
        <v>526</v>
      </c>
      <c r="B61" s="73" t="s">
        <v>528</v>
      </c>
      <c r="C61" s="74" t="s">
        <v>175</v>
      </c>
      <c r="D61" s="75">
        <v>1</v>
      </c>
    </row>
    <row r="62" spans="1:4" s="9" customFormat="1" ht="12.75">
      <c r="A62" s="53"/>
      <c r="B62" s="54" t="s">
        <v>530</v>
      </c>
      <c r="C62" s="76"/>
      <c r="D62" s="77"/>
    </row>
    <row r="63" spans="1:4" s="49" customFormat="1" ht="12.75">
      <c r="A63" s="53" t="s">
        <v>527</v>
      </c>
      <c r="B63" s="85" t="s">
        <v>532</v>
      </c>
      <c r="C63" s="76" t="s">
        <v>61</v>
      </c>
      <c r="D63" s="77">
        <v>34</v>
      </c>
    </row>
    <row r="64" spans="1:4" s="9" customFormat="1" ht="12.75">
      <c r="A64" s="53" t="s">
        <v>529</v>
      </c>
      <c r="B64" s="85" t="s">
        <v>534</v>
      </c>
      <c r="C64" s="76" t="s">
        <v>175</v>
      </c>
      <c r="D64" s="77">
        <v>34</v>
      </c>
    </row>
    <row r="65" spans="1:4" s="9" customFormat="1" ht="12.75">
      <c r="A65" s="53" t="s">
        <v>531</v>
      </c>
      <c r="B65" s="85" t="s">
        <v>536</v>
      </c>
      <c r="C65" s="76" t="s">
        <v>175</v>
      </c>
      <c r="D65" s="77">
        <v>34</v>
      </c>
    </row>
    <row r="66" spans="1:4" s="9" customFormat="1" ht="12.75">
      <c r="A66" s="53" t="s">
        <v>533</v>
      </c>
      <c r="B66" s="85" t="s">
        <v>537</v>
      </c>
      <c r="C66" s="76" t="s">
        <v>175</v>
      </c>
      <c r="D66" s="77">
        <v>34</v>
      </c>
    </row>
    <row r="67" spans="1:4" s="9" customFormat="1" ht="12.75">
      <c r="A67" s="53"/>
      <c r="B67" s="54" t="s">
        <v>538</v>
      </c>
      <c r="C67" s="76"/>
      <c r="D67" s="77"/>
    </row>
    <row r="68" spans="1:4" s="9" customFormat="1" ht="25.5">
      <c r="A68" s="53" t="s">
        <v>535</v>
      </c>
      <c r="B68" s="237" t="s">
        <v>539</v>
      </c>
      <c r="C68" s="76" t="s">
        <v>175</v>
      </c>
      <c r="D68" s="238">
        <v>1</v>
      </c>
    </row>
    <row r="69" spans="1:4" s="9" customFormat="1" ht="12.75">
      <c r="A69" s="19" t="s">
        <v>0</v>
      </c>
      <c r="B69" s="20" t="s">
        <v>1</v>
      </c>
      <c r="C69" s="13"/>
      <c r="D69" s="28"/>
    </row>
    <row r="70" spans="1:4" s="9" customFormat="1" ht="153">
      <c r="A70" s="19"/>
      <c r="B70" s="8" t="s">
        <v>1469</v>
      </c>
      <c r="C70" s="13" t="s">
        <v>2</v>
      </c>
      <c r="D70" s="28">
        <v>1</v>
      </c>
    </row>
    <row r="71" spans="1:4" ht="15.75">
      <c r="A71" s="4"/>
      <c r="B71" s="555" t="s">
        <v>13</v>
      </c>
      <c r="C71" s="556"/>
      <c r="D71" s="5"/>
    </row>
    <row r="72" spans="2:4" ht="8.25" customHeight="1">
      <c r="B72" s="2"/>
      <c r="C72" s="2"/>
      <c r="D72" s="2"/>
    </row>
    <row r="73" spans="2:4" ht="8.25" customHeight="1">
      <c r="B73" s="2"/>
      <c r="C73" s="2"/>
      <c r="D73" s="2"/>
    </row>
    <row r="74" spans="1:4" ht="15.75">
      <c r="A74" s="287" t="s">
        <v>14</v>
      </c>
      <c r="B74" s="288"/>
      <c r="C74" s="286"/>
      <c r="D74" s="286"/>
    </row>
    <row r="75" spans="1:4" ht="15.75">
      <c r="A75" s="289"/>
      <c r="B75" s="290" t="s">
        <v>4</v>
      </c>
      <c r="C75" s="286"/>
      <c r="D75" s="286"/>
    </row>
    <row r="76" spans="1:4" ht="15.75">
      <c r="A76" s="289"/>
      <c r="B76" s="291"/>
      <c r="C76" s="286"/>
      <c r="D76" s="286"/>
    </row>
    <row r="77" spans="1:4" ht="15.75">
      <c r="A77" s="287" t="s">
        <v>6</v>
      </c>
      <c r="B77" s="288"/>
      <c r="C77" s="286"/>
      <c r="D77" s="286"/>
    </row>
    <row r="78" spans="1:4" ht="15.75">
      <c r="A78" s="289"/>
      <c r="B78" s="290" t="s">
        <v>4</v>
      </c>
      <c r="C78" s="286"/>
      <c r="D78" s="286"/>
    </row>
    <row r="79" spans="1:4" ht="15.75">
      <c r="A79" s="289" t="s">
        <v>5</v>
      </c>
      <c r="B79" s="351"/>
      <c r="C79" s="286"/>
      <c r="D79" s="286"/>
    </row>
  </sheetData>
  <sheetProtection/>
  <mergeCells count="9">
    <mergeCell ref="B71:C71"/>
    <mergeCell ref="A1:D1"/>
    <mergeCell ref="A2:D2"/>
    <mergeCell ref="A3:D3"/>
    <mergeCell ref="A4:D4"/>
    <mergeCell ref="A5:D5"/>
    <mergeCell ref="A6:D6"/>
    <mergeCell ref="A9:B9"/>
    <mergeCell ref="C9:D9"/>
  </mergeCells>
  <dataValidations count="1">
    <dataValidation type="list" allowBlank="1" showInputMessage="1" showErrorMessage="1" sqref="C28:C29 C34:C36 C42 C21:C22 C62">
      <formula1>#REF!</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D88"/>
  <sheetViews>
    <sheetView showZeros="0" view="pageBreakPreview" zoomScale="130" zoomScaleSheetLayoutView="130" zoomScalePageLayoutView="0" workbookViewId="0" topLeftCell="A1">
      <selection activeCell="A10" sqref="A10"/>
    </sheetView>
  </sheetViews>
  <sheetFormatPr defaultColWidth="11.421875" defaultRowHeight="15"/>
  <cols>
    <col min="1" max="1" width="7.00390625" style="3" customWidth="1"/>
    <col min="2" max="2" width="55.28125" style="3" customWidth="1"/>
    <col min="3" max="3" width="11.00390625" style="3" customWidth="1"/>
    <col min="4" max="4" width="11.28125" style="25" customWidth="1"/>
    <col min="5" max="16384" width="11.421875" style="2" customWidth="1"/>
  </cols>
  <sheetData>
    <row r="1" spans="1:4" ht="15.75">
      <c r="A1" s="544" t="s">
        <v>1522</v>
      </c>
      <c r="B1" s="544"/>
      <c r="C1" s="544"/>
      <c r="D1" s="544"/>
    </row>
    <row r="2" spans="1:4" ht="18" customHeight="1">
      <c r="A2" s="545" t="s">
        <v>540</v>
      </c>
      <c r="B2" s="545"/>
      <c r="C2" s="545"/>
      <c r="D2" s="545"/>
    </row>
    <row r="3" spans="1:4" ht="15.75" customHeight="1">
      <c r="A3" s="546" t="s">
        <v>1452</v>
      </c>
      <c r="B3" s="546"/>
      <c r="C3" s="546"/>
      <c r="D3" s="546"/>
    </row>
    <row r="4" spans="1:4" s="264" customFormat="1" ht="30.75" customHeight="1">
      <c r="A4" s="547" t="s">
        <v>1458</v>
      </c>
      <c r="B4" s="548"/>
      <c r="C4" s="548"/>
      <c r="D4" s="548"/>
    </row>
    <row r="5" spans="1:4" s="264" customFormat="1" ht="31.5" customHeight="1">
      <c r="A5" s="547" t="s">
        <v>1473</v>
      </c>
      <c r="B5" s="548"/>
      <c r="C5" s="548"/>
      <c r="D5" s="548"/>
    </row>
    <row r="6" spans="1:4" s="264" customFormat="1" ht="12.75">
      <c r="A6" s="549" t="s">
        <v>1459</v>
      </c>
      <c r="B6" s="550"/>
      <c r="C6" s="550"/>
      <c r="D6" s="550"/>
    </row>
    <row r="7" spans="1:4" s="264" customFormat="1" ht="12.75">
      <c r="A7" s="296" t="s">
        <v>1460</v>
      </c>
      <c r="B7" s="297"/>
      <c r="C7" s="297"/>
      <c r="D7" s="297"/>
    </row>
    <row r="8" spans="1:4" ht="15.75">
      <c r="A8" s="558"/>
      <c r="B8" s="558"/>
      <c r="C8" s="558"/>
      <c r="D8" s="558"/>
    </row>
    <row r="9" spans="1:4" ht="16.5">
      <c r="A9" s="550" t="s">
        <v>1521</v>
      </c>
      <c r="B9" s="550"/>
      <c r="C9" s="215"/>
      <c r="D9" s="215"/>
    </row>
    <row r="10" spans="1:4" ht="20.25" customHeight="1">
      <c r="A10" s="538" t="s">
        <v>1687</v>
      </c>
      <c r="B10" s="539"/>
      <c r="C10" s="537"/>
      <c r="D10" s="537"/>
    </row>
    <row r="11" spans="1:4" ht="13.5" customHeight="1">
      <c r="A11" s="540" t="s">
        <v>1688</v>
      </c>
      <c r="B11" s="539"/>
      <c r="C11" s="537"/>
      <c r="D11" s="537"/>
    </row>
    <row r="12" spans="1:4" ht="42.75" customHeight="1">
      <c r="A12" s="309" t="s">
        <v>886</v>
      </c>
      <c r="B12" s="299" t="s">
        <v>1455</v>
      </c>
      <c r="C12" s="309" t="s">
        <v>1464</v>
      </c>
      <c r="D12" s="299" t="s">
        <v>1465</v>
      </c>
    </row>
    <row r="13" spans="1:4" ht="12.75" customHeight="1">
      <c r="A13" s="260">
        <v>1</v>
      </c>
      <c r="B13" s="260">
        <v>2</v>
      </c>
      <c r="C13" s="260">
        <v>3</v>
      </c>
      <c r="D13" s="260">
        <v>4</v>
      </c>
    </row>
    <row r="14" spans="1:4" s="9" customFormat="1" ht="12.75">
      <c r="A14" s="86" t="s">
        <v>541</v>
      </c>
      <c r="B14" s="54" t="s">
        <v>542</v>
      </c>
      <c r="C14" s="54"/>
      <c r="D14" s="55"/>
    </row>
    <row r="15" spans="1:4" s="9" customFormat="1" ht="38.25">
      <c r="A15" s="53" t="s">
        <v>27</v>
      </c>
      <c r="B15" s="87" t="s">
        <v>543</v>
      </c>
      <c r="C15" s="76" t="s">
        <v>175</v>
      </c>
      <c r="D15" s="77"/>
    </row>
    <row r="16" spans="1:4" s="9" customFormat="1" ht="12.75">
      <c r="A16" s="53" t="s">
        <v>20</v>
      </c>
      <c r="B16" s="88" t="s">
        <v>544</v>
      </c>
      <c r="C16" s="89" t="s">
        <v>61</v>
      </c>
      <c r="D16" s="90"/>
    </row>
    <row r="17" spans="1:4" s="9" customFormat="1" ht="12.75">
      <c r="A17" s="53" t="s">
        <v>21</v>
      </c>
      <c r="B17" s="88" t="s">
        <v>545</v>
      </c>
      <c r="C17" s="89" t="s">
        <v>61</v>
      </c>
      <c r="D17" s="90"/>
    </row>
    <row r="18" spans="1:4" s="9" customFormat="1" ht="12.75">
      <c r="A18" s="53" t="s">
        <v>240</v>
      </c>
      <c r="B18" s="91" t="s">
        <v>546</v>
      </c>
      <c r="C18" s="57" t="s">
        <v>61</v>
      </c>
      <c r="D18" s="58"/>
    </row>
    <row r="19" spans="1:4" s="9" customFormat="1" ht="12.75">
      <c r="A19" s="53" t="s">
        <v>241</v>
      </c>
      <c r="B19" s="62" t="s">
        <v>547</v>
      </c>
      <c r="C19" s="61" t="s">
        <v>175</v>
      </c>
      <c r="D19" s="60"/>
    </row>
    <row r="20" spans="1:4" s="9" customFormat="1" ht="12.75">
      <c r="A20" s="53" t="s">
        <v>242</v>
      </c>
      <c r="B20" s="62" t="s">
        <v>548</v>
      </c>
      <c r="C20" s="57" t="s">
        <v>61</v>
      </c>
      <c r="D20" s="60"/>
    </row>
    <row r="21" spans="1:4" s="9" customFormat="1" ht="12.75">
      <c r="A21" s="53" t="s">
        <v>243</v>
      </c>
      <c r="B21" s="62" t="s">
        <v>549</v>
      </c>
      <c r="C21" s="57" t="s">
        <v>61</v>
      </c>
      <c r="D21" s="60"/>
    </row>
    <row r="22" spans="1:4" s="9" customFormat="1" ht="12.75">
      <c r="A22" s="53" t="s">
        <v>413</v>
      </c>
      <c r="B22" s="62" t="s">
        <v>550</v>
      </c>
      <c r="C22" s="57" t="s">
        <v>61</v>
      </c>
      <c r="D22" s="60"/>
    </row>
    <row r="23" spans="1:4" s="9" customFormat="1" ht="12.75">
      <c r="A23" s="53" t="s">
        <v>423</v>
      </c>
      <c r="B23" s="62" t="s">
        <v>551</v>
      </c>
      <c r="C23" s="57" t="s">
        <v>61</v>
      </c>
      <c r="D23" s="60"/>
    </row>
    <row r="24" spans="1:4" s="9" customFormat="1" ht="12.75">
      <c r="A24" s="53" t="s">
        <v>425</v>
      </c>
      <c r="B24" s="62" t="s">
        <v>552</v>
      </c>
      <c r="C24" s="57" t="s">
        <v>61</v>
      </c>
      <c r="D24" s="60"/>
    </row>
    <row r="25" spans="1:4" s="9" customFormat="1" ht="12.75">
      <c r="A25" s="53" t="s">
        <v>427</v>
      </c>
      <c r="B25" s="62" t="s">
        <v>553</v>
      </c>
      <c r="C25" s="61" t="s">
        <v>12</v>
      </c>
      <c r="D25" s="60"/>
    </row>
    <row r="26" spans="1:4" s="9" customFormat="1" ht="12.75">
      <c r="A26" s="53" t="s">
        <v>429</v>
      </c>
      <c r="B26" s="62" t="s">
        <v>554</v>
      </c>
      <c r="C26" s="57" t="s">
        <v>61</v>
      </c>
      <c r="D26" s="60"/>
    </row>
    <row r="27" spans="1:4" s="9" customFormat="1" ht="12.75">
      <c r="A27" s="53" t="s">
        <v>430</v>
      </c>
      <c r="B27" s="92" t="s">
        <v>555</v>
      </c>
      <c r="C27" s="93" t="s">
        <v>61</v>
      </c>
      <c r="D27" s="65"/>
    </row>
    <row r="28" spans="1:4" s="9" customFormat="1" ht="12.75">
      <c r="A28" s="86" t="s">
        <v>556</v>
      </c>
      <c r="B28" s="54" t="s">
        <v>557</v>
      </c>
      <c r="C28" s="54"/>
      <c r="D28" s="55"/>
    </row>
    <row r="29" spans="1:4" s="9" customFormat="1" ht="38.25">
      <c r="A29" s="53" t="s">
        <v>34</v>
      </c>
      <c r="B29" s="87" t="s">
        <v>558</v>
      </c>
      <c r="C29" s="76" t="s">
        <v>175</v>
      </c>
      <c r="D29" s="77"/>
    </row>
    <row r="30" spans="1:4" s="9" customFormat="1" ht="12.75">
      <c r="A30" s="53" t="s">
        <v>22</v>
      </c>
      <c r="B30" s="62" t="s">
        <v>559</v>
      </c>
      <c r="C30" s="61" t="s">
        <v>61</v>
      </c>
      <c r="D30" s="60"/>
    </row>
    <row r="31" spans="1:4" s="9" customFormat="1" ht="12.75">
      <c r="A31" s="53" t="s">
        <v>23</v>
      </c>
      <c r="B31" s="62" t="s">
        <v>560</v>
      </c>
      <c r="C31" s="61" t="s">
        <v>61</v>
      </c>
      <c r="D31" s="60"/>
    </row>
    <row r="32" spans="1:4" s="9" customFormat="1" ht="12.75">
      <c r="A32" s="53" t="s">
        <v>24</v>
      </c>
      <c r="B32" s="62" t="s">
        <v>561</v>
      </c>
      <c r="C32" s="61" t="s">
        <v>61</v>
      </c>
      <c r="D32" s="60"/>
    </row>
    <row r="33" spans="1:4" s="9" customFormat="1" ht="12.75">
      <c r="A33" s="53" t="s">
        <v>25</v>
      </c>
      <c r="B33" s="62" t="s">
        <v>562</v>
      </c>
      <c r="C33" s="61" t="s">
        <v>61</v>
      </c>
      <c r="D33" s="60"/>
    </row>
    <row r="34" spans="1:4" s="9" customFormat="1" ht="12.75">
      <c r="A34" s="53" t="s">
        <v>26</v>
      </c>
      <c r="B34" s="62" t="s">
        <v>563</v>
      </c>
      <c r="C34" s="61" t="s">
        <v>61</v>
      </c>
      <c r="D34" s="60"/>
    </row>
    <row r="35" spans="1:4" s="9" customFormat="1" ht="12.75">
      <c r="A35" s="53" t="s">
        <v>11</v>
      </c>
      <c r="B35" s="62" t="s">
        <v>564</v>
      </c>
      <c r="C35" s="61" t="s">
        <v>61</v>
      </c>
      <c r="D35" s="60"/>
    </row>
    <row r="36" spans="1:4" s="9" customFormat="1" ht="12.75">
      <c r="A36" s="53" t="s">
        <v>7</v>
      </c>
      <c r="B36" s="62" t="s">
        <v>565</v>
      </c>
      <c r="C36" s="61" t="s">
        <v>61</v>
      </c>
      <c r="D36" s="60"/>
    </row>
    <row r="37" spans="1:4" s="9" customFormat="1" ht="12.75">
      <c r="A37" s="53" t="s">
        <v>8</v>
      </c>
      <c r="B37" s="42" t="s">
        <v>566</v>
      </c>
      <c r="C37" s="61" t="s">
        <v>61</v>
      </c>
      <c r="D37" s="71"/>
    </row>
    <row r="38" spans="1:4" s="9" customFormat="1" ht="12.75">
      <c r="A38" s="53" t="s">
        <v>9</v>
      </c>
      <c r="B38" s="62" t="s">
        <v>567</v>
      </c>
      <c r="C38" s="61" t="s">
        <v>61</v>
      </c>
      <c r="D38" s="60"/>
    </row>
    <row r="39" spans="1:4" s="9" customFormat="1" ht="12.75">
      <c r="A39" s="53" t="s">
        <v>10</v>
      </c>
      <c r="B39" s="62" t="s">
        <v>568</v>
      </c>
      <c r="C39" s="61" t="s">
        <v>61</v>
      </c>
      <c r="D39" s="60"/>
    </row>
    <row r="40" spans="1:4" s="9" customFormat="1" ht="12.75">
      <c r="A40" s="53" t="s">
        <v>29</v>
      </c>
      <c r="B40" s="62" t="s">
        <v>569</v>
      </c>
      <c r="C40" s="61" t="s">
        <v>61</v>
      </c>
      <c r="D40" s="60"/>
    </row>
    <row r="41" spans="1:4" s="9" customFormat="1" ht="25.5">
      <c r="A41" s="53" t="s">
        <v>30</v>
      </c>
      <c r="B41" s="62" t="s">
        <v>570</v>
      </c>
      <c r="C41" s="61" t="s">
        <v>61</v>
      </c>
      <c r="D41" s="60"/>
    </row>
    <row r="42" spans="1:4" s="9" customFormat="1" ht="12.75">
      <c r="A42" s="53" t="s">
        <v>31</v>
      </c>
      <c r="B42" s="42" t="s">
        <v>571</v>
      </c>
      <c r="C42" s="61" t="s">
        <v>61</v>
      </c>
      <c r="D42" s="71"/>
    </row>
    <row r="43" spans="1:4" s="9" customFormat="1" ht="12.75">
      <c r="A43" s="53" t="s">
        <v>32</v>
      </c>
      <c r="B43" s="42" t="s">
        <v>572</v>
      </c>
      <c r="C43" s="61" t="s">
        <v>61</v>
      </c>
      <c r="D43" s="71"/>
    </row>
    <row r="44" spans="1:4" s="9" customFormat="1" ht="12.75">
      <c r="A44" s="53" t="s">
        <v>33</v>
      </c>
      <c r="B44" s="42" t="s">
        <v>573</v>
      </c>
      <c r="C44" s="61" t="s">
        <v>61</v>
      </c>
      <c r="D44" s="71"/>
    </row>
    <row r="45" spans="1:4" s="9" customFormat="1" ht="12.75">
      <c r="A45" s="53" t="s">
        <v>35</v>
      </c>
      <c r="B45" s="42" t="s">
        <v>574</v>
      </c>
      <c r="C45" s="72" t="s">
        <v>309</v>
      </c>
      <c r="D45" s="71"/>
    </row>
    <row r="46" spans="1:4" s="9" customFormat="1" ht="12.75">
      <c r="A46" s="53" t="s">
        <v>36</v>
      </c>
      <c r="B46" s="42" t="s">
        <v>575</v>
      </c>
      <c r="C46" s="72" t="s">
        <v>309</v>
      </c>
      <c r="D46" s="71"/>
    </row>
    <row r="47" spans="1:4" s="9" customFormat="1" ht="12.75">
      <c r="A47" s="53" t="s">
        <v>37</v>
      </c>
      <c r="B47" s="42" t="s">
        <v>576</v>
      </c>
      <c r="C47" s="72" t="s">
        <v>61</v>
      </c>
      <c r="D47" s="71"/>
    </row>
    <row r="48" spans="1:4" s="9" customFormat="1" ht="12.75">
      <c r="A48" s="53" t="s">
        <v>38</v>
      </c>
      <c r="B48" s="42" t="s">
        <v>577</v>
      </c>
      <c r="C48" s="72" t="s">
        <v>61</v>
      </c>
      <c r="D48" s="71"/>
    </row>
    <row r="49" spans="1:4" s="9" customFormat="1" ht="25.5">
      <c r="A49" s="53" t="s">
        <v>39</v>
      </c>
      <c r="B49" s="42" t="s">
        <v>578</v>
      </c>
      <c r="C49" s="72" t="s">
        <v>175</v>
      </c>
      <c r="D49" s="71"/>
    </row>
    <row r="50" spans="1:4" s="9" customFormat="1" ht="12.75">
      <c r="A50" s="53" t="s">
        <v>40</v>
      </c>
      <c r="B50" s="62" t="s">
        <v>579</v>
      </c>
      <c r="C50" s="61" t="s">
        <v>15</v>
      </c>
      <c r="D50" s="60"/>
    </row>
    <row r="51" spans="1:4" s="9" customFormat="1" ht="12.75">
      <c r="A51" s="53" t="s">
        <v>41</v>
      </c>
      <c r="B51" s="62" t="s">
        <v>580</v>
      </c>
      <c r="C51" s="61" t="s">
        <v>15</v>
      </c>
      <c r="D51" s="60"/>
    </row>
    <row r="52" spans="1:4" s="9" customFormat="1" ht="12.75">
      <c r="A52" s="53" t="s">
        <v>42</v>
      </c>
      <c r="B52" s="62" t="s">
        <v>581</v>
      </c>
      <c r="C52" s="61" t="s">
        <v>15</v>
      </c>
      <c r="D52" s="60"/>
    </row>
    <row r="53" spans="1:4" s="9" customFormat="1" ht="12.75">
      <c r="A53" s="53" t="s">
        <v>43</v>
      </c>
      <c r="B53" s="62" t="s">
        <v>550</v>
      </c>
      <c r="C53" s="61" t="s">
        <v>15</v>
      </c>
      <c r="D53" s="60"/>
    </row>
    <row r="54" spans="1:4" s="9" customFormat="1" ht="12.75">
      <c r="A54" s="53" t="s">
        <v>44</v>
      </c>
      <c r="B54" s="62" t="s">
        <v>551</v>
      </c>
      <c r="C54" s="61" t="s">
        <v>15</v>
      </c>
      <c r="D54" s="60"/>
    </row>
    <row r="55" spans="1:4" s="9" customFormat="1" ht="12.75">
      <c r="A55" s="53" t="s">
        <v>45</v>
      </c>
      <c r="B55" s="62" t="s">
        <v>582</v>
      </c>
      <c r="C55" s="61" t="s">
        <v>15</v>
      </c>
      <c r="D55" s="60"/>
    </row>
    <row r="56" spans="1:4" s="9" customFormat="1" ht="12.75">
      <c r="A56" s="53" t="s">
        <v>46</v>
      </c>
      <c r="B56" s="62" t="s">
        <v>583</v>
      </c>
      <c r="C56" s="61" t="s">
        <v>15</v>
      </c>
      <c r="D56" s="60"/>
    </row>
    <row r="57" spans="1:4" s="9" customFormat="1" ht="12.75">
      <c r="A57" s="53" t="s">
        <v>47</v>
      </c>
      <c r="B57" s="62" t="s">
        <v>584</v>
      </c>
      <c r="C57" s="61" t="s">
        <v>15</v>
      </c>
      <c r="D57" s="60"/>
    </row>
    <row r="58" spans="1:4" s="9" customFormat="1" ht="12.75">
      <c r="A58" s="53" t="s">
        <v>585</v>
      </c>
      <c r="B58" s="42" t="s">
        <v>586</v>
      </c>
      <c r="C58" s="61" t="s">
        <v>15</v>
      </c>
      <c r="D58" s="60"/>
    </row>
    <row r="59" spans="1:4" s="9" customFormat="1" ht="12.75">
      <c r="A59" s="53" t="s">
        <v>587</v>
      </c>
      <c r="B59" s="62" t="s">
        <v>588</v>
      </c>
      <c r="C59" s="61" t="s">
        <v>15</v>
      </c>
      <c r="D59" s="60"/>
    </row>
    <row r="60" spans="1:4" s="9" customFormat="1" ht="12.75">
      <c r="A60" s="53" t="s">
        <v>589</v>
      </c>
      <c r="B60" s="62" t="s">
        <v>590</v>
      </c>
      <c r="C60" s="61" t="s">
        <v>15</v>
      </c>
      <c r="D60" s="60"/>
    </row>
    <row r="61" spans="1:4" s="9" customFormat="1" ht="12.75">
      <c r="A61" s="53" t="s">
        <v>591</v>
      </c>
      <c r="B61" s="62" t="s">
        <v>592</v>
      </c>
      <c r="C61" s="61" t="s">
        <v>309</v>
      </c>
      <c r="D61" s="60"/>
    </row>
    <row r="62" spans="1:4" s="49" customFormat="1" ht="12.75">
      <c r="A62" s="53" t="s">
        <v>593</v>
      </c>
      <c r="B62" s="62" t="s">
        <v>483</v>
      </c>
      <c r="C62" s="61" t="s">
        <v>309</v>
      </c>
      <c r="D62" s="60"/>
    </row>
    <row r="63" spans="1:4" s="9" customFormat="1" ht="12.75">
      <c r="A63" s="53" t="s">
        <v>1523</v>
      </c>
      <c r="B63" s="62" t="s">
        <v>594</v>
      </c>
      <c r="C63" s="61" t="s">
        <v>15</v>
      </c>
      <c r="D63" s="60"/>
    </row>
    <row r="64" spans="1:4" s="9" customFormat="1" ht="12.75">
      <c r="A64" s="53" t="s">
        <v>595</v>
      </c>
      <c r="B64" s="62" t="s">
        <v>596</v>
      </c>
      <c r="C64" s="61" t="s">
        <v>15</v>
      </c>
      <c r="D64" s="60"/>
    </row>
    <row r="65" spans="1:4" s="9" customFormat="1" ht="12.75">
      <c r="A65" s="53" t="s">
        <v>597</v>
      </c>
      <c r="B65" s="62" t="s">
        <v>598</v>
      </c>
      <c r="C65" s="61" t="s">
        <v>15</v>
      </c>
      <c r="D65" s="60"/>
    </row>
    <row r="66" spans="1:4" s="9" customFormat="1" ht="12.75">
      <c r="A66" s="53" t="s">
        <v>599</v>
      </c>
      <c r="B66" s="62" t="s">
        <v>600</v>
      </c>
      <c r="C66" s="61" t="s">
        <v>15</v>
      </c>
      <c r="D66" s="60"/>
    </row>
    <row r="67" spans="1:4" s="9" customFormat="1" ht="12.75">
      <c r="A67" s="53" t="s">
        <v>601</v>
      </c>
      <c r="B67" s="62" t="s">
        <v>602</v>
      </c>
      <c r="C67" s="61" t="s">
        <v>15</v>
      </c>
      <c r="D67" s="60"/>
    </row>
    <row r="68" spans="1:4" s="9" customFormat="1" ht="12.75">
      <c r="A68" s="53" t="s">
        <v>603</v>
      </c>
      <c r="B68" s="62" t="s">
        <v>604</v>
      </c>
      <c r="C68" s="61" t="s">
        <v>15</v>
      </c>
      <c r="D68" s="60"/>
    </row>
    <row r="69" spans="1:4" s="9" customFormat="1" ht="12.75">
      <c r="A69" s="53" t="s">
        <v>605</v>
      </c>
      <c r="B69" s="62" t="s">
        <v>456</v>
      </c>
      <c r="C69" s="61" t="s">
        <v>15</v>
      </c>
      <c r="D69" s="60"/>
    </row>
    <row r="70" spans="1:4" s="9" customFormat="1" ht="12.75">
      <c r="A70" s="53" t="s">
        <v>607</v>
      </c>
      <c r="B70" s="62" t="s">
        <v>606</v>
      </c>
      <c r="C70" s="72" t="s">
        <v>309</v>
      </c>
      <c r="D70" s="71"/>
    </row>
    <row r="71" spans="1:4" s="9" customFormat="1" ht="12.75">
      <c r="A71" s="53" t="s">
        <v>1524</v>
      </c>
      <c r="B71" s="62" t="s">
        <v>467</v>
      </c>
      <c r="C71" s="61" t="s">
        <v>15</v>
      </c>
      <c r="D71" s="60"/>
    </row>
    <row r="72" spans="1:4" s="9" customFormat="1" ht="12.75">
      <c r="A72" s="53" t="s">
        <v>1525</v>
      </c>
      <c r="B72" s="62" t="s">
        <v>608</v>
      </c>
      <c r="C72" s="61" t="s">
        <v>15</v>
      </c>
      <c r="D72" s="60"/>
    </row>
    <row r="73" spans="1:4" s="9" customFormat="1" ht="25.5">
      <c r="A73" s="53" t="s">
        <v>1526</v>
      </c>
      <c r="B73" s="62" t="s">
        <v>609</v>
      </c>
      <c r="C73" s="61" t="s">
        <v>15</v>
      </c>
      <c r="D73" s="60"/>
    </row>
    <row r="74" spans="1:4" s="9" customFormat="1" ht="12.75">
      <c r="A74" s="53" t="s">
        <v>28</v>
      </c>
      <c r="B74" s="59" t="s">
        <v>440</v>
      </c>
      <c r="C74" s="61" t="s">
        <v>175</v>
      </c>
      <c r="D74" s="60"/>
    </row>
    <row r="75" spans="1:4" s="9" customFormat="1" ht="12.75">
      <c r="A75" s="53" t="s">
        <v>16</v>
      </c>
      <c r="B75" s="59" t="s">
        <v>406</v>
      </c>
      <c r="C75" s="61" t="s">
        <v>175</v>
      </c>
      <c r="D75" s="60"/>
    </row>
    <row r="76" spans="1:4" s="9" customFormat="1" ht="12.75">
      <c r="A76" s="53" t="s">
        <v>48</v>
      </c>
      <c r="B76" s="239" t="s">
        <v>446</v>
      </c>
      <c r="C76" s="61" t="s">
        <v>175</v>
      </c>
      <c r="D76" s="240"/>
    </row>
    <row r="77" spans="1:4" s="9" customFormat="1" ht="12.75">
      <c r="A77" s="53" t="s">
        <v>17</v>
      </c>
      <c r="B77" s="59" t="s">
        <v>610</v>
      </c>
      <c r="C77" s="61" t="s">
        <v>175</v>
      </c>
      <c r="D77" s="60"/>
    </row>
    <row r="78" spans="1:4" s="9" customFormat="1" ht="12.75">
      <c r="A78" s="53" t="s">
        <v>18</v>
      </c>
      <c r="B78" s="241" t="s">
        <v>611</v>
      </c>
      <c r="C78" s="61" t="s">
        <v>175</v>
      </c>
      <c r="D78" s="240"/>
    </row>
    <row r="79" spans="1:4" s="9" customFormat="1" ht="12.75">
      <c r="A79" s="19" t="s">
        <v>0</v>
      </c>
      <c r="B79" s="20" t="s">
        <v>1</v>
      </c>
      <c r="C79" s="13"/>
      <c r="D79" s="28"/>
    </row>
    <row r="80" spans="1:4" s="9" customFormat="1" ht="140.25">
      <c r="A80" s="19"/>
      <c r="B80" s="8" t="s">
        <v>1468</v>
      </c>
      <c r="C80" s="13" t="s">
        <v>2</v>
      </c>
      <c r="D80" s="28"/>
    </row>
    <row r="81" spans="1:4" ht="15.75">
      <c r="A81" s="4"/>
      <c r="B81" s="555" t="s">
        <v>13</v>
      </c>
      <c r="C81" s="556"/>
      <c r="D81" s="5"/>
    </row>
    <row r="82" spans="1:4" ht="15.75">
      <c r="A82" s="250"/>
      <c r="B82" s="251"/>
      <c r="C82" s="250"/>
      <c r="D82" s="252"/>
    </row>
    <row r="83" spans="1:4" ht="15.75">
      <c r="A83" s="287" t="s">
        <v>14</v>
      </c>
      <c r="B83" s="288"/>
      <c r="C83" s="286"/>
      <c r="D83" s="286"/>
    </row>
    <row r="84" spans="1:4" ht="15.75">
      <c r="A84" s="289"/>
      <c r="B84" s="290" t="s">
        <v>4</v>
      </c>
      <c r="C84" s="286"/>
      <c r="D84" s="286"/>
    </row>
    <row r="85" spans="1:4" ht="15.75">
      <c r="A85" s="289"/>
      <c r="B85" s="291"/>
      <c r="C85" s="286"/>
      <c r="D85" s="286"/>
    </row>
    <row r="86" spans="1:4" ht="15.75">
      <c r="A86" s="287" t="s">
        <v>6</v>
      </c>
      <c r="B86" s="288"/>
      <c r="C86" s="286"/>
      <c r="D86" s="286"/>
    </row>
    <row r="87" spans="1:4" ht="15.75">
      <c r="A87" s="289"/>
      <c r="B87" s="290" t="s">
        <v>4</v>
      </c>
      <c r="C87" s="286"/>
      <c r="D87" s="286"/>
    </row>
    <row r="88" spans="1:4" ht="15.75">
      <c r="A88" s="289" t="s">
        <v>5</v>
      </c>
      <c r="B88" s="351"/>
      <c r="C88" s="286"/>
      <c r="D88" s="286"/>
    </row>
  </sheetData>
  <sheetProtection/>
  <mergeCells count="9">
    <mergeCell ref="B81:C81"/>
    <mergeCell ref="A9:B9"/>
    <mergeCell ref="A8:D8"/>
    <mergeCell ref="A1:D1"/>
    <mergeCell ref="A2:D2"/>
    <mergeCell ref="A3:D3"/>
    <mergeCell ref="A4:D4"/>
    <mergeCell ref="A5:D5"/>
    <mergeCell ref="A6:D6"/>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rgb="FFFF0000"/>
  </sheetPr>
  <dimension ref="A1:D45"/>
  <sheetViews>
    <sheetView showZeros="0" view="pageBreakPreview" zoomScaleSheetLayoutView="100" zoomScalePageLayoutView="0" workbookViewId="0" topLeftCell="A4">
      <selection activeCell="B16" sqref="B16"/>
    </sheetView>
  </sheetViews>
  <sheetFormatPr defaultColWidth="11.421875" defaultRowHeight="15"/>
  <cols>
    <col min="1" max="1" width="4.7109375" style="3" customWidth="1"/>
    <col min="2" max="2" width="56.28125" style="3" customWidth="1"/>
    <col min="3" max="3" width="12.140625" style="3" customWidth="1"/>
    <col min="4" max="4" width="11.140625" style="25" customWidth="1"/>
    <col min="5" max="5" width="11.140625" style="2" customWidth="1"/>
    <col min="6" max="16384" width="11.421875" style="2" customWidth="1"/>
  </cols>
  <sheetData>
    <row r="1" spans="1:4" ht="15.75">
      <c r="A1" s="544" t="s">
        <v>1527</v>
      </c>
      <c r="B1" s="544"/>
      <c r="C1" s="544"/>
      <c r="D1" s="544"/>
    </row>
    <row r="2" spans="1:4" ht="18" customHeight="1">
      <c r="A2" s="545" t="s">
        <v>612</v>
      </c>
      <c r="B2" s="545"/>
      <c r="C2" s="545"/>
      <c r="D2" s="545"/>
    </row>
    <row r="3" spans="1:4" ht="15.75" customHeight="1">
      <c r="A3" s="546" t="s">
        <v>1452</v>
      </c>
      <c r="B3" s="546"/>
      <c r="C3" s="546"/>
      <c r="D3" s="546"/>
    </row>
    <row r="4" spans="1:4" ht="15.75">
      <c r="A4" s="124"/>
      <c r="B4" s="124"/>
      <c r="C4" s="124"/>
      <c r="D4" s="124"/>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75">
      <c r="A9" s="558"/>
      <c r="B9" s="558"/>
      <c r="C9" s="558"/>
      <c r="D9" s="558"/>
    </row>
    <row r="10" spans="1:4" ht="15.75">
      <c r="A10" s="550" t="s">
        <v>1528</v>
      </c>
      <c r="B10" s="550"/>
      <c r="C10" s="557"/>
      <c r="D10" s="557"/>
    </row>
    <row r="11" spans="1:4" ht="16.5">
      <c r="A11" s="215"/>
      <c r="B11" s="215"/>
      <c r="C11" s="215"/>
      <c r="D11" s="215"/>
    </row>
    <row r="12" spans="1:4" ht="47.25" customHeight="1">
      <c r="A12" s="309" t="s">
        <v>886</v>
      </c>
      <c r="B12" s="299" t="s">
        <v>1455</v>
      </c>
      <c r="C12" s="309" t="s">
        <v>1464</v>
      </c>
      <c r="D12" s="299" t="s">
        <v>1465</v>
      </c>
    </row>
    <row r="13" spans="1:4" ht="15.75">
      <c r="A13" s="260">
        <v>1</v>
      </c>
      <c r="B13" s="260">
        <v>2</v>
      </c>
      <c r="C13" s="260">
        <v>3</v>
      </c>
      <c r="D13" s="260">
        <v>4</v>
      </c>
    </row>
    <row r="14" spans="1:4" s="9" customFormat="1" ht="12.75">
      <c r="A14" s="19"/>
      <c r="B14" s="18" t="s">
        <v>613</v>
      </c>
      <c r="C14" s="10"/>
      <c r="D14" s="96"/>
    </row>
    <row r="15" spans="1:4" s="9" customFormat="1" ht="127.5">
      <c r="A15" s="19" t="s">
        <v>27</v>
      </c>
      <c r="B15" s="66" t="s">
        <v>614</v>
      </c>
      <c r="C15" s="23" t="s">
        <v>3</v>
      </c>
      <c r="D15" s="94">
        <v>2</v>
      </c>
    </row>
    <row r="16" spans="1:4" s="9" customFormat="1" ht="51">
      <c r="A16" s="19" t="s">
        <v>34</v>
      </c>
      <c r="B16" s="66" t="s">
        <v>615</v>
      </c>
      <c r="C16" s="23" t="s">
        <v>3</v>
      </c>
      <c r="D16" s="94">
        <v>1</v>
      </c>
    </row>
    <row r="17" spans="1:4" s="9" customFormat="1" ht="114.75">
      <c r="A17" s="19" t="s">
        <v>28</v>
      </c>
      <c r="B17" s="66" t="s">
        <v>616</v>
      </c>
      <c r="C17" s="23" t="s">
        <v>61</v>
      </c>
      <c r="D17" s="94">
        <v>34</v>
      </c>
    </row>
    <row r="18" spans="1:4" s="9" customFormat="1" ht="114.75">
      <c r="A18" s="19" t="s">
        <v>16</v>
      </c>
      <c r="B18" s="95" t="s">
        <v>617</v>
      </c>
      <c r="C18" s="23" t="s">
        <v>61</v>
      </c>
      <c r="D18" s="94">
        <v>28</v>
      </c>
    </row>
    <row r="19" spans="1:4" s="9" customFormat="1" ht="12.75">
      <c r="A19" s="19" t="s">
        <v>48</v>
      </c>
      <c r="B19" s="66" t="s">
        <v>618</v>
      </c>
      <c r="C19" s="23" t="s">
        <v>61</v>
      </c>
      <c r="D19" s="94">
        <v>2</v>
      </c>
    </row>
    <row r="20" spans="1:4" s="9" customFormat="1" ht="12.75">
      <c r="A20" s="19" t="s">
        <v>17</v>
      </c>
      <c r="B20" s="66" t="s">
        <v>619</v>
      </c>
      <c r="C20" s="23" t="s">
        <v>61</v>
      </c>
      <c r="D20" s="94">
        <v>2</v>
      </c>
    </row>
    <row r="21" spans="1:4" s="9" customFormat="1" ht="12.75">
      <c r="A21" s="19" t="s">
        <v>18</v>
      </c>
      <c r="B21" s="66" t="s">
        <v>620</v>
      </c>
      <c r="C21" s="23" t="s">
        <v>3</v>
      </c>
      <c r="D21" s="94">
        <v>2</v>
      </c>
    </row>
    <row r="22" spans="1:4" s="9" customFormat="1" ht="12.75">
      <c r="A22" s="19" t="s">
        <v>19</v>
      </c>
      <c r="B22" s="66" t="s">
        <v>621</v>
      </c>
      <c r="C22" s="23" t="s">
        <v>3</v>
      </c>
      <c r="D22" s="94">
        <v>2</v>
      </c>
    </row>
    <row r="23" spans="1:4" s="9" customFormat="1" ht="12.75">
      <c r="A23" s="19" t="s">
        <v>403</v>
      </c>
      <c r="B23" s="66" t="s">
        <v>622</v>
      </c>
      <c r="C23" s="23" t="s">
        <v>61</v>
      </c>
      <c r="D23" s="94">
        <v>1</v>
      </c>
    </row>
    <row r="24" spans="1:4" s="9" customFormat="1" ht="12.75">
      <c r="A24" s="19" t="s">
        <v>404</v>
      </c>
      <c r="B24" s="43" t="s">
        <v>456</v>
      </c>
      <c r="C24" s="23" t="s">
        <v>61</v>
      </c>
      <c r="D24" s="94">
        <v>5</v>
      </c>
    </row>
    <row r="25" spans="1:4" s="9" customFormat="1" ht="12.75">
      <c r="A25" s="19" t="s">
        <v>460</v>
      </c>
      <c r="B25" s="43" t="s">
        <v>461</v>
      </c>
      <c r="C25" s="23" t="s">
        <v>61</v>
      </c>
      <c r="D25" s="94">
        <v>11</v>
      </c>
    </row>
    <row r="26" spans="1:4" s="9" customFormat="1" ht="12.75">
      <c r="A26" s="19" t="s">
        <v>462</v>
      </c>
      <c r="B26" s="43" t="s">
        <v>623</v>
      </c>
      <c r="C26" s="23" t="s">
        <v>3</v>
      </c>
      <c r="D26" s="94">
        <f>D17+D18</f>
        <v>62</v>
      </c>
    </row>
    <row r="27" spans="1:4" s="9" customFormat="1" ht="12.75">
      <c r="A27" s="19" t="s">
        <v>464</v>
      </c>
      <c r="B27" s="43" t="s">
        <v>624</v>
      </c>
      <c r="C27" s="23" t="s">
        <v>61</v>
      </c>
      <c r="D27" s="94">
        <v>62</v>
      </c>
    </row>
    <row r="28" spans="1:4" s="9" customFormat="1" ht="12.75">
      <c r="A28" s="19" t="s">
        <v>466</v>
      </c>
      <c r="B28" s="43" t="s">
        <v>625</v>
      </c>
      <c r="C28" s="23" t="s">
        <v>61</v>
      </c>
      <c r="D28" s="94">
        <v>62</v>
      </c>
    </row>
    <row r="29" spans="1:4" s="9" customFormat="1" ht="12.75">
      <c r="A29" s="19" t="s">
        <v>468</v>
      </c>
      <c r="B29" s="43" t="s">
        <v>479</v>
      </c>
      <c r="C29" s="23" t="s">
        <v>309</v>
      </c>
      <c r="D29" s="94">
        <f>D28*80</f>
        <v>4960</v>
      </c>
    </row>
    <row r="30" spans="1:4" s="9" customFormat="1" ht="12.75">
      <c r="A30" s="19" t="s">
        <v>470</v>
      </c>
      <c r="B30" s="43" t="s">
        <v>485</v>
      </c>
      <c r="C30" s="23" t="s">
        <v>309</v>
      </c>
      <c r="D30" s="94">
        <v>500</v>
      </c>
    </row>
    <row r="31" spans="1:4" s="9" customFormat="1" ht="12.75">
      <c r="A31" s="19" t="s">
        <v>472</v>
      </c>
      <c r="B31" s="242" t="s">
        <v>1284</v>
      </c>
      <c r="C31" s="23" t="s">
        <v>61</v>
      </c>
      <c r="D31" s="94">
        <v>2</v>
      </c>
    </row>
    <row r="32" spans="1:4" s="9" customFormat="1" ht="12.75">
      <c r="A32" s="19" t="s">
        <v>474</v>
      </c>
      <c r="B32" s="43" t="s">
        <v>440</v>
      </c>
      <c r="C32" s="23" t="s">
        <v>3</v>
      </c>
      <c r="D32" s="94">
        <v>1</v>
      </c>
    </row>
    <row r="33" spans="1:4" s="9" customFormat="1" ht="12.75">
      <c r="A33" s="19" t="s">
        <v>476</v>
      </c>
      <c r="B33" s="66" t="s">
        <v>406</v>
      </c>
      <c r="C33" s="23" t="s">
        <v>3</v>
      </c>
      <c r="D33" s="94">
        <v>1</v>
      </c>
    </row>
    <row r="34" spans="1:4" s="9" customFormat="1" ht="12.75">
      <c r="A34" s="19" t="s">
        <v>478</v>
      </c>
      <c r="B34" s="66" t="s">
        <v>445</v>
      </c>
      <c r="C34" s="23" t="s">
        <v>61</v>
      </c>
      <c r="D34" s="94">
        <v>1</v>
      </c>
    </row>
    <row r="35" spans="1:4" s="9" customFormat="1" ht="12.75">
      <c r="A35" s="19" t="s">
        <v>480</v>
      </c>
      <c r="B35" s="243" t="s">
        <v>446</v>
      </c>
      <c r="C35" s="23" t="s">
        <v>3</v>
      </c>
      <c r="D35" s="48">
        <v>1</v>
      </c>
    </row>
    <row r="36" spans="1:4" s="9" customFormat="1" ht="12.75">
      <c r="A36" s="19" t="s">
        <v>0</v>
      </c>
      <c r="B36" s="20" t="s">
        <v>1</v>
      </c>
      <c r="C36" s="13"/>
      <c r="D36" s="28"/>
    </row>
    <row r="37" spans="1:4" s="9" customFormat="1" ht="140.25">
      <c r="A37" s="19"/>
      <c r="B37" s="8" t="s">
        <v>1469</v>
      </c>
      <c r="C37" s="13" t="s">
        <v>2</v>
      </c>
      <c r="D37" s="28">
        <v>1</v>
      </c>
    </row>
    <row r="38" spans="1:4" ht="15.75">
      <c r="A38" s="4"/>
      <c r="B38" s="555" t="s">
        <v>13</v>
      </c>
      <c r="C38" s="556"/>
      <c r="D38" s="5"/>
    </row>
    <row r="39" spans="2:4" ht="15.75">
      <c r="B39" s="2"/>
      <c r="C39" s="2"/>
      <c r="D39" s="2"/>
    </row>
    <row r="40" spans="1:4" ht="15.75">
      <c r="A40" s="287" t="s">
        <v>14</v>
      </c>
      <c r="B40" s="288"/>
      <c r="C40" s="286"/>
      <c r="D40" s="286"/>
    </row>
    <row r="41" spans="1:4" ht="15.75">
      <c r="A41" s="289"/>
      <c r="B41" s="290" t="s">
        <v>4</v>
      </c>
      <c r="C41" s="286"/>
      <c r="D41" s="286"/>
    </row>
    <row r="42" spans="1:4" ht="15.75">
      <c r="A42" s="289"/>
      <c r="B42" s="291"/>
      <c r="C42" s="286"/>
      <c r="D42" s="286"/>
    </row>
    <row r="43" spans="1:4" ht="15.75">
      <c r="A43" s="287" t="s">
        <v>6</v>
      </c>
      <c r="B43" s="288"/>
      <c r="C43" s="286"/>
      <c r="D43" s="286"/>
    </row>
    <row r="44" spans="1:4" ht="15.75">
      <c r="A44" s="289"/>
      <c r="B44" s="290" t="s">
        <v>4</v>
      </c>
      <c r="C44" s="286"/>
      <c r="D44" s="286"/>
    </row>
    <row r="45" spans="1:4" ht="15.75">
      <c r="A45" s="289" t="s">
        <v>5</v>
      </c>
      <c r="B45" s="351"/>
      <c r="C45" s="286"/>
      <c r="D45" s="286"/>
    </row>
  </sheetData>
  <sheetProtection/>
  <mergeCells count="10">
    <mergeCell ref="B38:C38"/>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0000"/>
  </sheetPr>
  <dimension ref="A1:D58"/>
  <sheetViews>
    <sheetView showZeros="0" view="pageBreakPreview" zoomScaleSheetLayoutView="100" zoomScalePageLayoutView="0" workbookViewId="0" topLeftCell="A28">
      <selection activeCell="B48" sqref="B48"/>
    </sheetView>
  </sheetViews>
  <sheetFormatPr defaultColWidth="11.421875" defaultRowHeight="15"/>
  <cols>
    <col min="1" max="1" width="7.57421875" style="25" customWidth="1"/>
    <col min="2" max="2" width="56.8515625" style="25" customWidth="1"/>
    <col min="3" max="4" width="11.421875" style="25" customWidth="1"/>
    <col min="5" max="16384" width="11.421875" style="208" customWidth="1"/>
  </cols>
  <sheetData>
    <row r="1" spans="1:4" ht="15.75">
      <c r="A1" s="544" t="s">
        <v>1529</v>
      </c>
      <c r="B1" s="544"/>
      <c r="C1" s="544"/>
      <c r="D1" s="544"/>
    </row>
    <row r="2" spans="1:4" ht="18" customHeight="1">
      <c r="A2" s="545" t="s">
        <v>626</v>
      </c>
      <c r="B2" s="545"/>
      <c r="C2" s="545"/>
      <c r="D2" s="545"/>
    </row>
    <row r="3" spans="1:4" ht="15.75" customHeight="1">
      <c r="A3" s="546" t="s">
        <v>1452</v>
      </c>
      <c r="B3" s="546"/>
      <c r="C3" s="546"/>
      <c r="D3" s="546"/>
    </row>
    <row r="4" spans="1:4" ht="15.75">
      <c r="A4" s="209"/>
      <c r="B4" s="209"/>
      <c r="C4" s="209"/>
      <c r="D4" s="209"/>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75">
      <c r="A9" s="560"/>
      <c r="B9" s="560"/>
      <c r="C9" s="560"/>
      <c r="D9" s="560"/>
    </row>
    <row r="10" spans="1:4" ht="15.75">
      <c r="A10" s="550" t="s">
        <v>1530</v>
      </c>
      <c r="B10" s="550"/>
      <c r="C10" s="559"/>
      <c r="D10" s="559"/>
    </row>
    <row r="11" spans="1:4" ht="16.5">
      <c r="A11" s="244"/>
      <c r="B11" s="244"/>
      <c r="C11" s="244"/>
      <c r="D11" s="244"/>
    </row>
    <row r="12" spans="1:4" ht="48" customHeight="1">
      <c r="A12" s="309" t="s">
        <v>886</v>
      </c>
      <c r="B12" s="299" t="s">
        <v>1455</v>
      </c>
      <c r="C12" s="309" t="s">
        <v>1464</v>
      </c>
      <c r="D12" s="299" t="s">
        <v>1465</v>
      </c>
    </row>
    <row r="13" spans="1:4" ht="15.75">
      <c r="A13" s="260">
        <v>1</v>
      </c>
      <c r="B13" s="260">
        <v>2</v>
      </c>
      <c r="C13" s="260">
        <v>3</v>
      </c>
      <c r="D13" s="260">
        <v>4</v>
      </c>
    </row>
    <row r="14" spans="1:4" s="44" customFormat="1" ht="12.75">
      <c r="A14" s="23"/>
      <c r="B14" s="245" t="s">
        <v>627</v>
      </c>
      <c r="C14" s="246"/>
      <c r="D14" s="246"/>
    </row>
    <row r="15" spans="1:4" s="44" customFormat="1" ht="25.5">
      <c r="A15" s="23">
        <f>A14+1</f>
        <v>1</v>
      </c>
      <c r="B15" s="242" t="s">
        <v>1616</v>
      </c>
      <c r="C15" s="23" t="s">
        <v>3</v>
      </c>
      <c r="D15" s="210">
        <v>1</v>
      </c>
    </row>
    <row r="16" spans="1:4" s="44" customFormat="1" ht="25.5">
      <c r="A16" s="23">
        <f aca="true" t="shared" si="0" ref="A16:A47">A15+1</f>
        <v>2</v>
      </c>
      <c r="B16" s="242" t="s">
        <v>1617</v>
      </c>
      <c r="C16" s="23" t="s">
        <v>3</v>
      </c>
      <c r="D16" s="210">
        <v>2</v>
      </c>
    </row>
    <row r="17" spans="1:4" s="44" customFormat="1" ht="12.75">
      <c r="A17" s="23">
        <f t="shared" si="0"/>
        <v>3</v>
      </c>
      <c r="B17" s="242" t="s">
        <v>1282</v>
      </c>
      <c r="C17" s="210" t="s">
        <v>15</v>
      </c>
      <c r="D17" s="210">
        <v>2</v>
      </c>
    </row>
    <row r="18" spans="1:4" s="44" customFormat="1" ht="12.75">
      <c r="A18" s="23">
        <f t="shared" si="0"/>
        <v>4</v>
      </c>
      <c r="B18" s="242" t="s">
        <v>1283</v>
      </c>
      <c r="C18" s="210" t="s">
        <v>15</v>
      </c>
      <c r="D18" s="210">
        <v>2</v>
      </c>
    </row>
    <row r="19" spans="1:4" s="44" customFormat="1" ht="12.75">
      <c r="A19" s="23">
        <f t="shared" si="0"/>
        <v>5</v>
      </c>
      <c r="B19" s="242" t="s">
        <v>628</v>
      </c>
      <c r="C19" s="210" t="s">
        <v>15</v>
      </c>
      <c r="D19" s="210">
        <f>D15*2</f>
        <v>2</v>
      </c>
    </row>
    <row r="20" spans="1:4" s="44" customFormat="1" ht="12.75">
      <c r="A20" s="23">
        <f t="shared" si="0"/>
        <v>6</v>
      </c>
      <c r="B20" s="242" t="s">
        <v>629</v>
      </c>
      <c r="C20" s="210" t="s">
        <v>15</v>
      </c>
      <c r="D20" s="210">
        <v>2</v>
      </c>
    </row>
    <row r="21" spans="1:4" s="44" customFormat="1" ht="12.75">
      <c r="A21" s="23">
        <f t="shared" si="0"/>
        <v>7</v>
      </c>
      <c r="B21" s="242" t="s">
        <v>630</v>
      </c>
      <c r="C21" s="210" t="s">
        <v>15</v>
      </c>
      <c r="D21" s="210">
        <v>1</v>
      </c>
    </row>
    <row r="22" spans="1:4" s="44" customFormat="1" ht="12.75">
      <c r="A22" s="23">
        <f t="shared" si="0"/>
        <v>8</v>
      </c>
      <c r="B22" s="242" t="s">
        <v>1606</v>
      </c>
      <c r="C22" s="23" t="s">
        <v>3</v>
      </c>
      <c r="D22" s="210">
        <v>1</v>
      </c>
    </row>
    <row r="23" spans="1:4" s="44" customFormat="1" ht="25.5">
      <c r="A23" s="23">
        <f t="shared" si="0"/>
        <v>9</v>
      </c>
      <c r="B23" s="242" t="s">
        <v>1607</v>
      </c>
      <c r="C23" s="210" t="s">
        <v>15</v>
      </c>
      <c r="D23" s="210">
        <v>354</v>
      </c>
    </row>
    <row r="24" spans="1:4" s="44" customFormat="1" ht="25.5">
      <c r="A24" s="23">
        <f t="shared" si="0"/>
        <v>10</v>
      </c>
      <c r="B24" s="242" t="s">
        <v>1608</v>
      </c>
      <c r="C24" s="210" t="s">
        <v>15</v>
      </c>
      <c r="D24" s="210">
        <v>10</v>
      </c>
    </row>
    <row r="25" spans="1:4" s="44" customFormat="1" ht="12.75">
      <c r="A25" s="23">
        <f t="shared" si="0"/>
        <v>11</v>
      </c>
      <c r="B25" s="242" t="s">
        <v>1609</v>
      </c>
      <c r="C25" s="210" t="s">
        <v>15</v>
      </c>
      <c r="D25" s="210">
        <v>53</v>
      </c>
    </row>
    <row r="26" spans="1:4" s="44" customFormat="1" ht="12.75">
      <c r="A26" s="23">
        <f t="shared" si="0"/>
        <v>12</v>
      </c>
      <c r="B26" s="242" t="s">
        <v>1610</v>
      </c>
      <c r="C26" s="210" t="s">
        <v>15</v>
      </c>
      <c r="D26" s="210">
        <f>D24+D23</f>
        <v>364</v>
      </c>
    </row>
    <row r="27" spans="1:4" s="44" customFormat="1" ht="12.75">
      <c r="A27" s="23">
        <f t="shared" si="0"/>
        <v>13</v>
      </c>
      <c r="B27" s="242" t="s">
        <v>1611</v>
      </c>
      <c r="C27" s="210" t="s">
        <v>15</v>
      </c>
      <c r="D27" s="210">
        <v>126</v>
      </c>
    </row>
    <row r="28" spans="1:4" s="44" customFormat="1" ht="12.75">
      <c r="A28" s="23">
        <f t="shared" si="0"/>
        <v>14</v>
      </c>
      <c r="B28" s="242" t="s">
        <v>631</v>
      </c>
      <c r="C28" s="210" t="s">
        <v>3</v>
      </c>
      <c r="D28" s="210">
        <v>3</v>
      </c>
    </row>
    <row r="29" spans="1:4" s="44" customFormat="1" ht="12.75">
      <c r="A29" s="23">
        <f t="shared" si="0"/>
        <v>15</v>
      </c>
      <c r="B29" s="242" t="s">
        <v>1612</v>
      </c>
      <c r="C29" s="210" t="s">
        <v>15</v>
      </c>
      <c r="D29" s="210">
        <v>9</v>
      </c>
    </row>
    <row r="30" spans="1:4" s="44" customFormat="1" ht="12.75">
      <c r="A30" s="23">
        <f t="shared" si="0"/>
        <v>16</v>
      </c>
      <c r="B30" s="242" t="s">
        <v>1613</v>
      </c>
      <c r="C30" s="210" t="s">
        <v>15</v>
      </c>
      <c r="D30" s="210">
        <v>67</v>
      </c>
    </row>
    <row r="31" spans="1:4" s="44" customFormat="1" ht="12.75">
      <c r="A31" s="23">
        <f t="shared" si="0"/>
        <v>17</v>
      </c>
      <c r="B31" s="242" t="s">
        <v>1614</v>
      </c>
      <c r="C31" s="210" t="s">
        <v>15</v>
      </c>
      <c r="D31" s="210">
        <f>D29+D30</f>
        <v>76</v>
      </c>
    </row>
    <row r="32" spans="1:4" s="44" customFormat="1" ht="12.75">
      <c r="A32" s="23">
        <f t="shared" si="0"/>
        <v>18</v>
      </c>
      <c r="B32" s="242" t="s">
        <v>1615</v>
      </c>
      <c r="C32" s="210" t="s">
        <v>15</v>
      </c>
      <c r="D32" s="210">
        <v>1</v>
      </c>
    </row>
    <row r="33" spans="1:4" s="44" customFormat="1" ht="25.5">
      <c r="A33" s="23">
        <f t="shared" si="0"/>
        <v>19</v>
      </c>
      <c r="B33" s="242" t="s">
        <v>1391</v>
      </c>
      <c r="C33" s="210" t="s">
        <v>309</v>
      </c>
      <c r="D33" s="210">
        <f>((D26+D25)*15)*1.2</f>
        <v>7506</v>
      </c>
    </row>
    <row r="34" spans="1:4" s="44" customFormat="1" ht="12.75">
      <c r="A34" s="23">
        <f t="shared" si="0"/>
        <v>20</v>
      </c>
      <c r="B34" s="242" t="s">
        <v>1392</v>
      </c>
      <c r="C34" s="210" t="s">
        <v>309</v>
      </c>
      <c r="D34" s="210">
        <v>500</v>
      </c>
    </row>
    <row r="35" spans="1:4" s="44" customFormat="1" ht="12.75">
      <c r="A35" s="23">
        <f t="shared" si="0"/>
        <v>21</v>
      </c>
      <c r="B35" s="242" t="s">
        <v>437</v>
      </c>
      <c r="C35" s="210" t="s">
        <v>309</v>
      </c>
      <c r="D35" s="210">
        <f>ROUND(D33*0.1,0)</f>
        <v>751</v>
      </c>
    </row>
    <row r="36" spans="1:4" s="44" customFormat="1" ht="12.75">
      <c r="A36" s="23">
        <f t="shared" si="0"/>
        <v>22</v>
      </c>
      <c r="B36" s="242" t="s">
        <v>632</v>
      </c>
      <c r="C36" s="210" t="s">
        <v>309</v>
      </c>
      <c r="D36" s="210">
        <f>D25+D15+D16+D22*3</f>
        <v>59</v>
      </c>
    </row>
    <row r="37" spans="1:4" s="44" customFormat="1" ht="12.75">
      <c r="A37" s="23">
        <f t="shared" si="0"/>
        <v>23</v>
      </c>
      <c r="B37" s="213" t="s">
        <v>1342</v>
      </c>
      <c r="C37" s="210" t="s">
        <v>15</v>
      </c>
      <c r="D37" s="210">
        <v>5</v>
      </c>
    </row>
    <row r="38" spans="1:4" s="44" customFormat="1" ht="12.75">
      <c r="A38" s="23">
        <f t="shared" si="0"/>
        <v>24</v>
      </c>
      <c r="B38" s="242" t="s">
        <v>633</v>
      </c>
      <c r="C38" s="23" t="s">
        <v>3</v>
      </c>
      <c r="D38" s="210">
        <v>1</v>
      </c>
    </row>
    <row r="39" spans="1:4" s="44" customFormat="1" ht="12.75">
      <c r="A39" s="23">
        <f t="shared" si="0"/>
        <v>25</v>
      </c>
      <c r="B39" s="242" t="s">
        <v>445</v>
      </c>
      <c r="C39" s="23" t="s">
        <v>3</v>
      </c>
      <c r="D39" s="210">
        <v>1</v>
      </c>
    </row>
    <row r="40" spans="1:4" s="44" customFormat="1" ht="12.75">
      <c r="A40" s="23">
        <f t="shared" si="0"/>
        <v>26</v>
      </c>
      <c r="B40" s="242" t="s">
        <v>446</v>
      </c>
      <c r="C40" s="23" t="s">
        <v>3</v>
      </c>
      <c r="D40" s="210">
        <v>1</v>
      </c>
    </row>
    <row r="41" spans="1:4" s="44" customFormat="1" ht="12.75">
      <c r="A41" s="23">
        <f t="shared" si="0"/>
        <v>27</v>
      </c>
      <c r="B41" s="242" t="s">
        <v>634</v>
      </c>
      <c r="C41" s="23" t="s">
        <v>3</v>
      </c>
      <c r="D41" s="210">
        <v>1</v>
      </c>
    </row>
    <row r="42" spans="1:4" s="44" customFormat="1" ht="12.75">
      <c r="A42" s="23">
        <f t="shared" si="0"/>
        <v>28</v>
      </c>
      <c r="B42" s="247" t="s">
        <v>635</v>
      </c>
      <c r="C42" s="247"/>
      <c r="D42" s="248"/>
    </row>
    <row r="43" spans="1:4" s="44" customFormat="1" ht="25.5">
      <c r="A43" s="23">
        <f t="shared" si="0"/>
        <v>29</v>
      </c>
      <c r="B43" s="242" t="s">
        <v>1607</v>
      </c>
      <c r="C43" s="210" t="s">
        <v>15</v>
      </c>
      <c r="D43" s="210">
        <f>ROUND(D23*0.1,0)</f>
        <v>35</v>
      </c>
    </row>
    <row r="44" spans="1:4" s="44" customFormat="1" ht="25.5">
      <c r="A44" s="23">
        <f t="shared" si="0"/>
        <v>30</v>
      </c>
      <c r="B44" s="242" t="s">
        <v>1608</v>
      </c>
      <c r="C44" s="210" t="s">
        <v>15</v>
      </c>
      <c r="D44" s="210">
        <v>1</v>
      </c>
    </row>
    <row r="45" spans="1:4" s="44" customFormat="1" ht="12.75">
      <c r="A45" s="23">
        <f t="shared" si="0"/>
        <v>31</v>
      </c>
      <c r="B45" s="242" t="s">
        <v>1609</v>
      </c>
      <c r="C45" s="210" t="s">
        <v>15</v>
      </c>
      <c r="D45" s="210">
        <f>ROUND(D25*0.1,0)</f>
        <v>5</v>
      </c>
    </row>
    <row r="46" spans="1:4" s="44" customFormat="1" ht="12.75">
      <c r="A46" s="23">
        <f t="shared" si="0"/>
        <v>32</v>
      </c>
      <c r="B46" s="242" t="s">
        <v>1618</v>
      </c>
      <c r="C46" s="210" t="s">
        <v>15</v>
      </c>
      <c r="D46" s="210">
        <f>D43+D44</f>
        <v>36</v>
      </c>
    </row>
    <row r="47" spans="1:4" s="44" customFormat="1" ht="12.75">
      <c r="A47" s="23">
        <f t="shared" si="0"/>
        <v>33</v>
      </c>
      <c r="B47" s="242" t="s">
        <v>1613</v>
      </c>
      <c r="C47" s="210" t="s">
        <v>15</v>
      </c>
      <c r="D47" s="210">
        <f>ROUND(D30*0.1,0)</f>
        <v>7</v>
      </c>
    </row>
    <row r="48" spans="1:4" s="44" customFormat="1" ht="12.75">
      <c r="A48" s="35" t="s">
        <v>0</v>
      </c>
      <c r="B48" s="211" t="s">
        <v>1</v>
      </c>
      <c r="C48" s="28"/>
      <c r="D48" s="28"/>
    </row>
    <row r="49" spans="1:4" s="44" customFormat="1" ht="140.25">
      <c r="A49" s="35"/>
      <c r="B49" s="125" t="s">
        <v>1469</v>
      </c>
      <c r="C49" s="28" t="s">
        <v>2</v>
      </c>
      <c r="D49" s="28">
        <v>1</v>
      </c>
    </row>
    <row r="50" spans="1:4" ht="15.75">
      <c r="A50" s="4"/>
      <c r="B50" s="555" t="s">
        <v>13</v>
      </c>
      <c r="C50" s="556"/>
      <c r="D50" s="5"/>
    </row>
    <row r="51" spans="2:4" ht="15.75">
      <c r="B51" s="208"/>
      <c r="C51" s="208"/>
      <c r="D51" s="208"/>
    </row>
    <row r="52" spans="1:4" s="2" customFormat="1" ht="15.75">
      <c r="A52" s="287" t="s">
        <v>14</v>
      </c>
      <c r="B52" s="288"/>
      <c r="C52" s="286"/>
      <c r="D52" s="286"/>
    </row>
    <row r="53" spans="1:4" s="2" customFormat="1" ht="15.75">
      <c r="A53" s="289"/>
      <c r="B53" s="290" t="s">
        <v>4</v>
      </c>
      <c r="C53" s="286"/>
      <c r="D53" s="286"/>
    </row>
    <row r="54" spans="1:4" s="2" customFormat="1" ht="15.75">
      <c r="A54" s="289"/>
      <c r="B54" s="291"/>
      <c r="C54" s="286"/>
      <c r="D54" s="286"/>
    </row>
    <row r="55" spans="1:4" s="2" customFormat="1" ht="15.75">
      <c r="A55" s="287" t="s">
        <v>6</v>
      </c>
      <c r="B55" s="288"/>
      <c r="C55" s="286"/>
      <c r="D55" s="286"/>
    </row>
    <row r="56" spans="1:4" s="2" customFormat="1" ht="15.75">
      <c r="A56" s="289"/>
      <c r="B56" s="290" t="s">
        <v>4</v>
      </c>
      <c r="C56" s="286"/>
      <c r="D56" s="286"/>
    </row>
    <row r="57" spans="1:4" s="2" customFormat="1" ht="15.75">
      <c r="A57" s="289" t="s">
        <v>5</v>
      </c>
      <c r="B57" s="351"/>
      <c r="C57" s="286"/>
      <c r="D57" s="286"/>
    </row>
    <row r="58" spans="1:4" s="2" customFormat="1" ht="15.75">
      <c r="A58" s="3"/>
      <c r="B58" s="3"/>
      <c r="C58" s="3"/>
      <c r="D58" s="25"/>
    </row>
  </sheetData>
  <sheetProtection/>
  <mergeCells count="10">
    <mergeCell ref="B50:C50"/>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FF0000"/>
  </sheetPr>
  <dimension ref="A1:D38"/>
  <sheetViews>
    <sheetView showZeros="0" view="pageBreakPreview" zoomScaleSheetLayoutView="100" zoomScalePageLayoutView="0" workbookViewId="0" topLeftCell="A16">
      <selection activeCell="B28" sqref="B28"/>
    </sheetView>
  </sheetViews>
  <sheetFormatPr defaultColWidth="11.421875" defaultRowHeight="15"/>
  <cols>
    <col min="1" max="1" width="8.57421875" style="3" customWidth="1"/>
    <col min="2" max="2" width="53.57421875" style="3" customWidth="1"/>
    <col min="3" max="3" width="13.28125" style="3" customWidth="1"/>
    <col min="4" max="4" width="10.8515625" style="25" customWidth="1"/>
    <col min="5" max="16384" width="11.421875" style="2" customWidth="1"/>
  </cols>
  <sheetData>
    <row r="1" spans="1:4" ht="15.75">
      <c r="A1" s="544" t="s">
        <v>1531</v>
      </c>
      <c r="B1" s="544"/>
      <c r="C1" s="544"/>
      <c r="D1" s="544"/>
    </row>
    <row r="2" spans="1:4" ht="18" customHeight="1">
      <c r="A2" s="545" t="s">
        <v>1534</v>
      </c>
      <c r="B2" s="545"/>
      <c r="C2" s="545"/>
      <c r="D2" s="545"/>
    </row>
    <row r="3" spans="1:4" ht="15.75" customHeight="1">
      <c r="A3" s="546" t="s">
        <v>1452</v>
      </c>
      <c r="B3" s="546"/>
      <c r="C3" s="546"/>
      <c r="D3" s="546"/>
    </row>
    <row r="4" spans="1:4" ht="15.75" customHeight="1">
      <c r="A4" s="295"/>
      <c r="B4" s="295"/>
      <c r="C4" s="295"/>
      <c r="D4" s="295"/>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75">
      <c r="A9" s="558"/>
      <c r="B9" s="558"/>
      <c r="C9" s="558"/>
      <c r="D9" s="558"/>
    </row>
    <row r="10" spans="1:4" ht="15.75">
      <c r="A10" s="550" t="s">
        <v>1533</v>
      </c>
      <c r="B10" s="550"/>
      <c r="C10" s="557"/>
      <c r="D10" s="557"/>
    </row>
    <row r="11" spans="1:4" ht="16.5">
      <c r="A11" s="216"/>
      <c r="B11" s="215"/>
      <c r="C11" s="215"/>
      <c r="D11" s="215"/>
    </row>
    <row r="12" spans="1:4" ht="45" customHeight="1">
      <c r="A12" s="309" t="s">
        <v>886</v>
      </c>
      <c r="B12" s="299" t="s">
        <v>1455</v>
      </c>
      <c r="C12" s="309" t="s">
        <v>1464</v>
      </c>
      <c r="D12" s="299" t="s">
        <v>1465</v>
      </c>
    </row>
    <row r="13" spans="1:4" ht="15.75">
      <c r="A13" s="260">
        <v>1</v>
      </c>
      <c r="B13" s="260">
        <v>2</v>
      </c>
      <c r="C13" s="260">
        <v>3</v>
      </c>
      <c r="D13" s="260">
        <v>4</v>
      </c>
    </row>
    <row r="14" spans="1:4" s="9" customFormat="1" ht="12.75">
      <c r="A14" s="10"/>
      <c r="B14" s="54" t="s">
        <v>1532</v>
      </c>
      <c r="C14" s="54"/>
      <c r="D14" s="55"/>
    </row>
    <row r="15" spans="1:4" s="9" customFormat="1" ht="12.75">
      <c r="A15" s="53" t="s">
        <v>27</v>
      </c>
      <c r="B15" s="97" t="s">
        <v>1619</v>
      </c>
      <c r="C15" s="57" t="s">
        <v>175</v>
      </c>
      <c r="D15" s="58">
        <v>1</v>
      </c>
    </row>
    <row r="16" spans="1:4" s="9" customFormat="1" ht="12.75">
      <c r="A16" s="53" t="s">
        <v>34</v>
      </c>
      <c r="B16" s="98" t="s">
        <v>636</v>
      </c>
      <c r="C16" s="61" t="s">
        <v>61</v>
      </c>
      <c r="D16" s="60">
        <v>2</v>
      </c>
    </row>
    <row r="17" spans="1:4" s="9" customFormat="1" ht="25.5">
      <c r="A17" s="53" t="s">
        <v>28</v>
      </c>
      <c r="B17" s="98" t="s">
        <v>1620</v>
      </c>
      <c r="C17" s="61" t="s">
        <v>61</v>
      </c>
      <c r="D17" s="60">
        <v>1</v>
      </c>
    </row>
    <row r="18" spans="1:4" s="9" customFormat="1" ht="25.5">
      <c r="A18" s="53" t="s">
        <v>16</v>
      </c>
      <c r="B18" s="98" t="s">
        <v>1621</v>
      </c>
      <c r="C18" s="61" t="s">
        <v>61</v>
      </c>
      <c r="D18" s="60">
        <v>19</v>
      </c>
    </row>
    <row r="19" spans="1:4" s="9" customFormat="1" ht="12.75">
      <c r="A19" s="53" t="s">
        <v>48</v>
      </c>
      <c r="B19" s="98" t="s">
        <v>637</v>
      </c>
      <c r="C19" s="61" t="s">
        <v>61</v>
      </c>
      <c r="D19" s="60">
        <v>1</v>
      </c>
    </row>
    <row r="20" spans="1:4" s="9" customFormat="1" ht="12.75">
      <c r="A20" s="53" t="s">
        <v>17</v>
      </c>
      <c r="B20" s="98" t="s">
        <v>638</v>
      </c>
      <c r="C20" s="61" t="s">
        <v>12</v>
      </c>
      <c r="D20" s="60">
        <v>1500</v>
      </c>
    </row>
    <row r="21" spans="1:4" s="9" customFormat="1" ht="12.75">
      <c r="A21" s="53" t="s">
        <v>18</v>
      </c>
      <c r="B21" s="98" t="s">
        <v>639</v>
      </c>
      <c r="C21" s="61" t="s">
        <v>12</v>
      </c>
      <c r="D21" s="60">
        <v>50</v>
      </c>
    </row>
    <row r="22" spans="1:4" s="9" customFormat="1" ht="12.75">
      <c r="A22" s="53" t="s">
        <v>19</v>
      </c>
      <c r="B22" s="98" t="s">
        <v>437</v>
      </c>
      <c r="C22" s="61" t="s">
        <v>12</v>
      </c>
      <c r="D22" s="60">
        <v>100</v>
      </c>
    </row>
    <row r="23" spans="1:4" s="44" customFormat="1" ht="12.75">
      <c r="A23" s="53" t="s">
        <v>403</v>
      </c>
      <c r="B23" s="114" t="s">
        <v>640</v>
      </c>
      <c r="C23" s="115" t="s">
        <v>12</v>
      </c>
      <c r="D23" s="116">
        <v>100</v>
      </c>
    </row>
    <row r="24" spans="1:4" s="9" customFormat="1" ht="25.5">
      <c r="A24" s="53" t="s">
        <v>404</v>
      </c>
      <c r="B24" s="70" t="s">
        <v>1342</v>
      </c>
      <c r="C24" s="61" t="s">
        <v>61</v>
      </c>
      <c r="D24" s="60">
        <v>2</v>
      </c>
    </row>
    <row r="25" spans="1:4" s="9" customFormat="1" ht="12.75">
      <c r="A25" s="53" t="s">
        <v>460</v>
      </c>
      <c r="B25" s="98" t="s">
        <v>633</v>
      </c>
      <c r="C25" s="57" t="s">
        <v>175</v>
      </c>
      <c r="D25" s="60">
        <v>1</v>
      </c>
    </row>
    <row r="26" spans="1:4" s="9" customFormat="1" ht="12.75">
      <c r="A26" s="53" t="s">
        <v>462</v>
      </c>
      <c r="B26" s="98" t="s">
        <v>445</v>
      </c>
      <c r="C26" s="57" t="s">
        <v>175</v>
      </c>
      <c r="D26" s="60">
        <v>1</v>
      </c>
    </row>
    <row r="27" spans="1:4" s="9" customFormat="1" ht="12.75">
      <c r="A27" s="53" t="s">
        <v>464</v>
      </c>
      <c r="B27" s="59" t="s">
        <v>406</v>
      </c>
      <c r="C27" s="57" t="s">
        <v>175</v>
      </c>
      <c r="D27" s="60">
        <v>1</v>
      </c>
    </row>
    <row r="28" spans="1:4" s="9" customFormat="1" ht="12.75">
      <c r="A28" s="53" t="s">
        <v>466</v>
      </c>
      <c r="B28" s="239" t="s">
        <v>446</v>
      </c>
      <c r="C28" s="57" t="s">
        <v>175</v>
      </c>
      <c r="D28" s="60">
        <v>1</v>
      </c>
    </row>
    <row r="29" spans="1:4" s="9" customFormat="1" ht="12.75">
      <c r="A29" s="19" t="s">
        <v>0</v>
      </c>
      <c r="B29" s="20" t="s">
        <v>1</v>
      </c>
      <c r="C29" s="13"/>
      <c r="D29" s="28"/>
    </row>
    <row r="30" spans="1:4" s="9" customFormat="1" ht="140.25">
      <c r="A30" s="19"/>
      <c r="B30" s="8" t="s">
        <v>1466</v>
      </c>
      <c r="C30" s="13" t="s">
        <v>2</v>
      </c>
      <c r="D30" s="28">
        <v>1</v>
      </c>
    </row>
    <row r="31" spans="1:4" ht="15.75">
      <c r="A31" s="4"/>
      <c r="B31" s="555" t="s">
        <v>13</v>
      </c>
      <c r="C31" s="556"/>
      <c r="D31" s="5"/>
    </row>
    <row r="32" spans="2:4" ht="15.75">
      <c r="B32" s="2"/>
      <c r="C32" s="2"/>
      <c r="D32" s="2"/>
    </row>
    <row r="33" spans="1:4" ht="15.75">
      <c r="A33" s="287" t="s">
        <v>14</v>
      </c>
      <c r="B33" s="288"/>
      <c r="C33" s="286"/>
      <c r="D33" s="286"/>
    </row>
    <row r="34" spans="1:4" ht="15.75">
      <c r="A34" s="289"/>
      <c r="B34" s="290" t="s">
        <v>4</v>
      </c>
      <c r="C34" s="286"/>
      <c r="D34" s="286"/>
    </row>
    <row r="35" spans="1:4" ht="15.75">
      <c r="A35" s="289"/>
      <c r="B35" s="291"/>
      <c r="C35" s="286"/>
      <c r="D35" s="286"/>
    </row>
    <row r="36" spans="1:4" ht="15.75">
      <c r="A36" s="287" t="s">
        <v>6</v>
      </c>
      <c r="B36" s="288"/>
      <c r="C36" s="286"/>
      <c r="D36" s="286"/>
    </row>
    <row r="37" spans="1:4" ht="15.75">
      <c r="A37" s="289"/>
      <c r="B37" s="290" t="s">
        <v>4</v>
      </c>
      <c r="C37" s="286"/>
      <c r="D37" s="286"/>
    </row>
    <row r="38" spans="1:4" ht="15.75">
      <c r="A38" s="289" t="s">
        <v>5</v>
      </c>
      <c r="B38" s="351"/>
      <c r="C38" s="286"/>
      <c r="D38" s="286"/>
    </row>
  </sheetData>
  <sheetProtection/>
  <mergeCells count="10">
    <mergeCell ref="B31:C31"/>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D183"/>
  <sheetViews>
    <sheetView showZeros="0" zoomScale="130" zoomScaleNormal="130" zoomScaleSheetLayoutView="115" zoomScalePageLayoutView="0" workbookViewId="0" topLeftCell="A160">
      <selection activeCell="B147" sqref="B147"/>
    </sheetView>
  </sheetViews>
  <sheetFormatPr defaultColWidth="11.421875" defaultRowHeight="15"/>
  <cols>
    <col min="1" max="1" width="8.28125" style="286" customWidth="1"/>
    <col min="2" max="2" width="55.28125" style="286" customWidth="1"/>
    <col min="3" max="3" width="11.8515625" style="286" customWidth="1"/>
    <col min="4" max="4" width="11.28125" style="293" customWidth="1"/>
    <col min="5" max="16384" width="11.421875" style="264" customWidth="1"/>
  </cols>
  <sheetData>
    <row r="1" spans="1:4" ht="15.75">
      <c r="A1" s="544" t="s">
        <v>1467</v>
      </c>
      <c r="B1" s="544"/>
      <c r="C1" s="544"/>
      <c r="D1" s="544"/>
    </row>
    <row r="2" spans="1:4" ht="15">
      <c r="A2" s="545" t="s">
        <v>86</v>
      </c>
      <c r="B2" s="545"/>
      <c r="C2" s="545"/>
      <c r="D2" s="545"/>
    </row>
    <row r="3" spans="1:4" ht="12.75" customHeight="1">
      <c r="A3" s="546" t="s">
        <v>1452</v>
      </c>
      <c r="B3" s="546"/>
      <c r="C3" s="546"/>
      <c r="D3" s="546"/>
    </row>
    <row r="4" spans="1:4" ht="12.75">
      <c r="A4" s="295"/>
      <c r="B4" s="295"/>
      <c r="C4" s="295"/>
      <c r="D4" s="295"/>
    </row>
    <row r="5" spans="1:4" ht="31.5" customHeight="1">
      <c r="A5" s="547" t="s">
        <v>1458</v>
      </c>
      <c r="B5" s="548"/>
      <c r="C5" s="548"/>
      <c r="D5" s="548"/>
    </row>
    <row r="6" spans="1:4" ht="31.5" customHeight="1">
      <c r="A6" s="547" t="s">
        <v>1473</v>
      </c>
      <c r="B6" s="548"/>
      <c r="C6" s="548"/>
      <c r="D6" s="548"/>
    </row>
    <row r="7" spans="1:4" ht="12.75">
      <c r="A7" s="549" t="s">
        <v>1459</v>
      </c>
      <c r="B7" s="550"/>
      <c r="C7" s="550"/>
      <c r="D7" s="550"/>
    </row>
    <row r="8" spans="1:4" ht="12.75">
      <c r="A8" s="296" t="s">
        <v>1460</v>
      </c>
      <c r="B8" s="297"/>
      <c r="C8" s="297"/>
      <c r="D8" s="297"/>
    </row>
    <row r="9" spans="1:4" ht="12.75">
      <c r="A9" s="548"/>
      <c r="B9" s="548"/>
      <c r="C9" s="548"/>
      <c r="D9" s="548"/>
    </row>
    <row r="10" spans="1:4" ht="12.75">
      <c r="A10" s="352" t="s">
        <v>1456</v>
      </c>
      <c r="B10" s="353"/>
      <c r="C10" s="353"/>
      <c r="D10" s="353"/>
    </row>
    <row r="11" spans="1:4" ht="12.75">
      <c r="A11" s="353"/>
      <c r="B11" s="353"/>
      <c r="C11" s="353"/>
      <c r="D11" s="353"/>
    </row>
    <row r="12" spans="1:4" ht="48.75" customHeight="1">
      <c r="A12" s="309" t="s">
        <v>886</v>
      </c>
      <c r="B12" s="299" t="s">
        <v>1455</v>
      </c>
      <c r="C12" s="309" t="s">
        <v>1464</v>
      </c>
      <c r="D12" s="299" t="s">
        <v>1465</v>
      </c>
    </row>
    <row r="13" spans="1:4" ht="12.75">
      <c r="A13" s="299">
        <v>1</v>
      </c>
      <c r="B13" s="299">
        <v>2</v>
      </c>
      <c r="C13" s="299">
        <v>3</v>
      </c>
      <c r="D13" s="299">
        <v>4</v>
      </c>
    </row>
    <row r="14" spans="1:4" ht="12.75">
      <c r="A14" s="310"/>
      <c r="B14" s="312" t="s">
        <v>58</v>
      </c>
      <c r="C14" s="313"/>
      <c r="D14" s="314"/>
    </row>
    <row r="15" spans="1:4" ht="12.75">
      <c r="A15" s="310"/>
      <c r="B15" s="316" t="s">
        <v>57</v>
      </c>
      <c r="C15" s="315"/>
      <c r="D15" s="315"/>
    </row>
    <row r="16" spans="1:4" ht="12.75">
      <c r="A16" s="310">
        <v>1</v>
      </c>
      <c r="B16" s="317" t="s">
        <v>59</v>
      </c>
      <c r="C16" s="318" t="s">
        <v>54</v>
      </c>
      <c r="D16" s="303">
        <v>7.7</v>
      </c>
    </row>
    <row r="17" spans="1:4" ht="12.75">
      <c r="A17" s="310"/>
      <c r="B17" s="311" t="s">
        <v>60</v>
      </c>
      <c r="C17" s="318" t="s">
        <v>61</v>
      </c>
      <c r="D17" s="300">
        <v>3095</v>
      </c>
    </row>
    <row r="18" spans="1:4" ht="12.75">
      <c r="A18" s="310"/>
      <c r="B18" s="311" t="s">
        <v>62</v>
      </c>
      <c r="C18" s="318" t="s">
        <v>54</v>
      </c>
      <c r="D18" s="300">
        <f>ROUND(D16*0.24,2)</f>
        <v>1.85</v>
      </c>
    </row>
    <row r="19" spans="1:4" ht="12.75">
      <c r="A19" s="320">
        <v>2</v>
      </c>
      <c r="B19" s="321" t="s">
        <v>63</v>
      </c>
      <c r="C19" s="322" t="s">
        <v>54</v>
      </c>
      <c r="D19" s="357">
        <v>4.5</v>
      </c>
    </row>
    <row r="20" spans="1:4" ht="12.75">
      <c r="A20" s="320"/>
      <c r="B20" s="323" t="s">
        <v>66</v>
      </c>
      <c r="C20" s="324" t="s">
        <v>54</v>
      </c>
      <c r="D20" s="358">
        <f>0.95*D19</f>
        <v>4.2749999999999995</v>
      </c>
    </row>
    <row r="21" spans="1:4" ht="12.75">
      <c r="A21" s="320"/>
      <c r="B21" s="300" t="s">
        <v>64</v>
      </c>
      <c r="C21" s="318" t="s">
        <v>54</v>
      </c>
      <c r="D21" s="300">
        <f>0.15*D19</f>
        <v>0.6749999999999999</v>
      </c>
    </row>
    <row r="22" spans="1:4" ht="12.75">
      <c r="A22" s="320"/>
      <c r="B22" s="325" t="s">
        <v>1471</v>
      </c>
      <c r="C22" s="326" t="s">
        <v>65</v>
      </c>
      <c r="D22" s="325">
        <f>1.1*D19</f>
        <v>4.95</v>
      </c>
    </row>
    <row r="23" spans="1:4" ht="25.5">
      <c r="A23" s="320">
        <v>3</v>
      </c>
      <c r="B23" s="327" t="s">
        <v>77</v>
      </c>
      <c r="C23" s="328" t="s">
        <v>51</v>
      </c>
      <c r="D23" s="359">
        <v>15</v>
      </c>
    </row>
    <row r="24" spans="1:4" ht="12.75">
      <c r="A24" s="320"/>
      <c r="B24" s="329" t="s">
        <v>1545</v>
      </c>
      <c r="C24" s="328" t="s">
        <v>51</v>
      </c>
      <c r="D24" s="359">
        <f>ROUND(D23*4.24,2)</f>
        <v>63.6</v>
      </c>
    </row>
    <row r="25" spans="1:4" ht="12.75">
      <c r="A25" s="320"/>
      <c r="B25" s="329" t="s">
        <v>67</v>
      </c>
      <c r="C25" s="328" t="s">
        <v>51</v>
      </c>
      <c r="D25" s="359">
        <f>ROUND(D23*1.03,2)</f>
        <v>15.45</v>
      </c>
    </row>
    <row r="26" spans="1:4" ht="12.75">
      <c r="A26" s="320"/>
      <c r="B26" s="329" t="s">
        <v>73</v>
      </c>
      <c r="C26" s="328" t="s">
        <v>51</v>
      </c>
      <c r="D26" s="359">
        <f>ROUND(D23*1.03,2)</f>
        <v>15.45</v>
      </c>
    </row>
    <row r="27" spans="1:4" ht="12.75">
      <c r="A27" s="320"/>
      <c r="B27" s="329" t="s">
        <v>68</v>
      </c>
      <c r="C27" s="328" t="s">
        <v>15</v>
      </c>
      <c r="D27" s="359">
        <f>ROUND(D23*2,2)</f>
        <v>30</v>
      </c>
    </row>
    <row r="28" spans="1:4" ht="12.75">
      <c r="A28" s="320"/>
      <c r="B28" s="329" t="s">
        <v>69</v>
      </c>
      <c r="C28" s="328" t="s">
        <v>15</v>
      </c>
      <c r="D28" s="359">
        <f>ROUND(D23*25,2)</f>
        <v>375</v>
      </c>
    </row>
    <row r="29" spans="1:4" ht="12.75">
      <c r="A29" s="320"/>
      <c r="B29" s="329" t="s">
        <v>70</v>
      </c>
      <c r="C29" s="328" t="s">
        <v>12</v>
      </c>
      <c r="D29" s="359">
        <f>ROUND(D23*1.5,2)</f>
        <v>22.5</v>
      </c>
    </row>
    <row r="30" spans="1:4" ht="12.75">
      <c r="A30" s="320"/>
      <c r="B30" s="330" t="s">
        <v>71</v>
      </c>
      <c r="C30" s="328" t="s">
        <v>12</v>
      </c>
      <c r="D30" s="359">
        <f>ROUND(D23*1.2,2)</f>
        <v>18</v>
      </c>
    </row>
    <row r="31" spans="1:4" ht="12.75">
      <c r="A31" s="320"/>
      <c r="B31" s="331" t="s">
        <v>72</v>
      </c>
      <c r="C31" s="332" t="s">
        <v>65</v>
      </c>
      <c r="D31" s="360">
        <f>ROUND(D23*0.8,2)</f>
        <v>12</v>
      </c>
    </row>
    <row r="32" spans="1:4" ht="25.5">
      <c r="A32" s="320">
        <v>4</v>
      </c>
      <c r="B32" s="327" t="s">
        <v>80</v>
      </c>
      <c r="C32" s="328" t="s">
        <v>51</v>
      </c>
      <c r="D32" s="359">
        <v>3.6</v>
      </c>
    </row>
    <row r="33" spans="1:4" ht="12.75">
      <c r="A33" s="320"/>
      <c r="B33" s="329" t="s">
        <v>1545</v>
      </c>
      <c r="C33" s="328" t="s">
        <v>51</v>
      </c>
      <c r="D33" s="359">
        <f>ROUND(D32*4.24,2)</f>
        <v>15.26</v>
      </c>
    </row>
    <row r="34" spans="1:4" ht="12.75">
      <c r="A34" s="320"/>
      <c r="B34" s="329" t="s">
        <v>67</v>
      </c>
      <c r="C34" s="328" t="s">
        <v>51</v>
      </c>
      <c r="D34" s="359">
        <f>ROUND(D32*1.03,2)</f>
        <v>3.71</v>
      </c>
    </row>
    <row r="35" spans="1:4" ht="12.75">
      <c r="A35" s="320"/>
      <c r="B35" s="329" t="s">
        <v>79</v>
      </c>
      <c r="C35" s="328" t="s">
        <v>51</v>
      </c>
      <c r="D35" s="359">
        <f>ROUND(D32*1.03,2)</f>
        <v>3.71</v>
      </c>
    </row>
    <row r="36" spans="1:4" ht="12.75">
      <c r="A36" s="320"/>
      <c r="B36" s="329" t="s">
        <v>68</v>
      </c>
      <c r="C36" s="328" t="s">
        <v>15</v>
      </c>
      <c r="D36" s="359">
        <v>7</v>
      </c>
    </row>
    <row r="37" spans="1:4" ht="12.75">
      <c r="A37" s="320"/>
      <c r="B37" s="329" t="s">
        <v>69</v>
      </c>
      <c r="C37" s="328" t="s">
        <v>15</v>
      </c>
      <c r="D37" s="359">
        <f>ROUND(D32*25,2)</f>
        <v>90</v>
      </c>
    </row>
    <row r="38" spans="1:4" ht="12.75">
      <c r="A38" s="320"/>
      <c r="B38" s="329" t="s">
        <v>70</v>
      </c>
      <c r="C38" s="328" t="s">
        <v>12</v>
      </c>
      <c r="D38" s="359">
        <f>ROUND(D32*1.5,2)</f>
        <v>5.4</v>
      </c>
    </row>
    <row r="39" spans="1:4" ht="12.75">
      <c r="A39" s="320"/>
      <c r="B39" s="330" t="s">
        <v>71</v>
      </c>
      <c r="C39" s="328" t="s">
        <v>12</v>
      </c>
      <c r="D39" s="359">
        <f>ROUND(D32*1.2,2)</f>
        <v>4.32</v>
      </c>
    </row>
    <row r="40" spans="1:4" ht="12.75">
      <c r="A40" s="320"/>
      <c r="B40" s="331" t="s">
        <v>72</v>
      </c>
      <c r="C40" s="332" t="s">
        <v>65</v>
      </c>
      <c r="D40" s="360">
        <f>ROUND(D32*0.8,2)</f>
        <v>2.88</v>
      </c>
    </row>
    <row r="41" spans="1:4" ht="12.75">
      <c r="A41" s="320">
        <v>5</v>
      </c>
      <c r="B41" s="327" t="s">
        <v>1419</v>
      </c>
      <c r="C41" s="328" t="s">
        <v>51</v>
      </c>
      <c r="D41" s="359">
        <v>16</v>
      </c>
    </row>
    <row r="42" spans="1:4" ht="25.5">
      <c r="A42" s="320">
        <v>6</v>
      </c>
      <c r="B42" s="333" t="s">
        <v>78</v>
      </c>
      <c r="C42" s="318" t="s">
        <v>51</v>
      </c>
      <c r="D42" s="300">
        <f>ROUND((D23+D32)*2+D41,2)</f>
        <v>53.2</v>
      </c>
    </row>
    <row r="43" spans="1:4" ht="12.75">
      <c r="A43" s="320"/>
      <c r="B43" s="311" t="s">
        <v>74</v>
      </c>
      <c r="C43" s="318" t="s">
        <v>75</v>
      </c>
      <c r="D43" s="359">
        <f>ROUND(D42*0.15,2)</f>
        <v>7.98</v>
      </c>
    </row>
    <row r="44" spans="1:4" ht="12.75">
      <c r="A44" s="320"/>
      <c r="B44" s="311" t="s">
        <v>72</v>
      </c>
      <c r="C44" s="318" t="s">
        <v>65</v>
      </c>
      <c r="D44" s="359">
        <f>ROUND(D42*1.6,2)</f>
        <v>85.12</v>
      </c>
    </row>
    <row r="45" spans="1:4" ht="13.5" customHeight="1">
      <c r="A45" s="320"/>
      <c r="B45" s="331" t="s">
        <v>76</v>
      </c>
      <c r="C45" s="334" t="s">
        <v>51</v>
      </c>
      <c r="D45" s="360">
        <f>ROUND(D42*0.05,2)</f>
        <v>2.66</v>
      </c>
    </row>
    <row r="46" spans="1:4" ht="25.5">
      <c r="A46" s="320">
        <v>7</v>
      </c>
      <c r="B46" s="335" t="s">
        <v>87</v>
      </c>
      <c r="C46" s="336" t="s">
        <v>3</v>
      </c>
      <c r="D46" s="360">
        <v>1</v>
      </c>
    </row>
    <row r="47" spans="1:4" ht="25.5">
      <c r="A47" s="320"/>
      <c r="B47" s="333" t="s">
        <v>1393</v>
      </c>
      <c r="C47" s="318" t="s">
        <v>51</v>
      </c>
      <c r="D47" s="300">
        <v>4.7</v>
      </c>
    </row>
    <row r="48" spans="1:4" ht="12.75">
      <c r="A48" s="320"/>
      <c r="B48" s="333" t="s">
        <v>1394</v>
      </c>
      <c r="C48" s="318" t="s">
        <v>54</v>
      </c>
      <c r="D48" s="300">
        <f>1.08+0.36</f>
        <v>1.44</v>
      </c>
    </row>
    <row r="49" spans="1:4" ht="12.75">
      <c r="A49" s="320"/>
      <c r="B49" s="337" t="s">
        <v>81</v>
      </c>
      <c r="C49" s="315"/>
      <c r="D49" s="365"/>
    </row>
    <row r="50" spans="1:4" ht="12.75">
      <c r="A50" s="320">
        <v>8</v>
      </c>
      <c r="B50" s="317" t="s">
        <v>59</v>
      </c>
      <c r="C50" s="318" t="s">
        <v>54</v>
      </c>
      <c r="D50" s="303">
        <v>3.05</v>
      </c>
    </row>
    <row r="51" spans="1:4" ht="12.75">
      <c r="A51" s="320"/>
      <c r="B51" s="311" t="s">
        <v>60</v>
      </c>
      <c r="C51" s="318" t="s">
        <v>61</v>
      </c>
      <c r="D51" s="300">
        <v>1226</v>
      </c>
    </row>
    <row r="52" spans="1:4" ht="12.75">
      <c r="A52" s="320"/>
      <c r="B52" s="311" t="s">
        <v>62</v>
      </c>
      <c r="C52" s="318" t="s">
        <v>54</v>
      </c>
      <c r="D52" s="300">
        <f>ROUND(D50*0.24,2)</f>
        <v>0.73</v>
      </c>
    </row>
    <row r="53" spans="1:4" ht="12.75">
      <c r="A53" s="320">
        <v>9</v>
      </c>
      <c r="B53" s="321" t="s">
        <v>63</v>
      </c>
      <c r="C53" s="322" t="s">
        <v>54</v>
      </c>
      <c r="D53" s="357">
        <v>6.5</v>
      </c>
    </row>
    <row r="54" spans="1:4" ht="12.75">
      <c r="A54" s="320"/>
      <c r="B54" s="323" t="s">
        <v>66</v>
      </c>
      <c r="C54" s="324" t="s">
        <v>54</v>
      </c>
      <c r="D54" s="358">
        <f>0.95*D53</f>
        <v>6.175</v>
      </c>
    </row>
    <row r="55" spans="1:4" ht="12.75">
      <c r="A55" s="320"/>
      <c r="B55" s="300" t="s">
        <v>64</v>
      </c>
      <c r="C55" s="318" t="s">
        <v>54</v>
      </c>
      <c r="D55" s="300">
        <f>0.15*D53</f>
        <v>0.975</v>
      </c>
    </row>
    <row r="56" spans="1:4" ht="12.75">
      <c r="A56" s="320"/>
      <c r="B56" s="325" t="s">
        <v>1471</v>
      </c>
      <c r="C56" s="326" t="s">
        <v>65</v>
      </c>
      <c r="D56" s="325">
        <f>1.1*D53</f>
        <v>7.15</v>
      </c>
    </row>
    <row r="57" spans="1:4" ht="25.5">
      <c r="A57" s="320">
        <v>10</v>
      </c>
      <c r="B57" s="327" t="s">
        <v>77</v>
      </c>
      <c r="C57" s="328" t="s">
        <v>51</v>
      </c>
      <c r="D57" s="359">
        <v>36</v>
      </c>
    </row>
    <row r="58" spans="1:4" ht="12.75">
      <c r="A58" s="320"/>
      <c r="B58" s="329" t="s">
        <v>1545</v>
      </c>
      <c r="C58" s="328" t="s">
        <v>51</v>
      </c>
      <c r="D58" s="359">
        <f>ROUND(D57*4.24,2)</f>
        <v>152.64</v>
      </c>
    </row>
    <row r="59" spans="1:4" ht="12.75">
      <c r="A59" s="320"/>
      <c r="B59" s="329" t="s">
        <v>67</v>
      </c>
      <c r="C59" s="328" t="s">
        <v>51</v>
      </c>
      <c r="D59" s="359">
        <f>ROUND(D57*1.03,2)</f>
        <v>37.08</v>
      </c>
    </row>
    <row r="60" spans="1:4" ht="12.75">
      <c r="A60" s="320"/>
      <c r="B60" s="329" t="s">
        <v>73</v>
      </c>
      <c r="C60" s="328" t="s">
        <v>51</v>
      </c>
      <c r="D60" s="359">
        <f>ROUND(D57*1.03,2)</f>
        <v>37.08</v>
      </c>
    </row>
    <row r="61" spans="1:4" ht="12.75">
      <c r="A61" s="320"/>
      <c r="B61" s="329" t="s">
        <v>68</v>
      </c>
      <c r="C61" s="328" t="s">
        <v>15</v>
      </c>
      <c r="D61" s="359">
        <f>ROUND(D57*2,2)</f>
        <v>72</v>
      </c>
    </row>
    <row r="62" spans="1:4" ht="12.75">
      <c r="A62" s="320"/>
      <c r="B62" s="329" t="s">
        <v>69</v>
      </c>
      <c r="C62" s="328" t="s">
        <v>15</v>
      </c>
      <c r="D62" s="359">
        <f>ROUND(D57*25,2)</f>
        <v>900</v>
      </c>
    </row>
    <row r="63" spans="1:4" ht="12.75">
      <c r="A63" s="320"/>
      <c r="B63" s="329" t="s">
        <v>70</v>
      </c>
      <c r="C63" s="328" t="s">
        <v>12</v>
      </c>
      <c r="D63" s="359">
        <f>ROUND(D57*1.5,2)</f>
        <v>54</v>
      </c>
    </row>
    <row r="64" spans="1:4" ht="12.75">
      <c r="A64" s="320"/>
      <c r="B64" s="330" t="s">
        <v>71</v>
      </c>
      <c r="C64" s="328" t="s">
        <v>12</v>
      </c>
      <c r="D64" s="359">
        <f>ROUND(D57*1.2,2)</f>
        <v>43.2</v>
      </c>
    </row>
    <row r="65" spans="1:4" ht="12.75">
      <c r="A65" s="320"/>
      <c r="B65" s="331" t="s">
        <v>72</v>
      </c>
      <c r="C65" s="332" t="s">
        <v>65</v>
      </c>
      <c r="D65" s="360">
        <f>ROUND(D57*0.8,2)</f>
        <v>28.8</v>
      </c>
    </row>
    <row r="66" spans="1:4" ht="25.5">
      <c r="A66" s="320">
        <v>11</v>
      </c>
      <c r="B66" s="327" t="s">
        <v>77</v>
      </c>
      <c r="C66" s="328" t="s">
        <v>51</v>
      </c>
      <c r="D66" s="359">
        <v>11.4</v>
      </c>
    </row>
    <row r="67" spans="1:4" ht="12.75">
      <c r="A67" s="320"/>
      <c r="B67" s="329" t="s">
        <v>1546</v>
      </c>
      <c r="C67" s="328" t="s">
        <v>51</v>
      </c>
      <c r="D67" s="359">
        <f>ROUND(D66*2.12,2)</f>
        <v>24.17</v>
      </c>
    </row>
    <row r="68" spans="1:4" ht="12.75">
      <c r="A68" s="320"/>
      <c r="B68" s="329" t="s">
        <v>1545</v>
      </c>
      <c r="C68" s="328" t="s">
        <v>51</v>
      </c>
      <c r="D68" s="359">
        <f>ROUND(D66*2.12,2)</f>
        <v>24.17</v>
      </c>
    </row>
    <row r="69" spans="1:4" ht="12.75">
      <c r="A69" s="320"/>
      <c r="B69" s="329" t="s">
        <v>67</v>
      </c>
      <c r="C69" s="328" t="s">
        <v>51</v>
      </c>
      <c r="D69" s="359">
        <f>ROUND(D66*1.03,2)</f>
        <v>11.74</v>
      </c>
    </row>
    <row r="70" spans="1:4" ht="12.75">
      <c r="A70" s="320"/>
      <c r="B70" s="329" t="s">
        <v>73</v>
      </c>
      <c r="C70" s="328" t="s">
        <v>51</v>
      </c>
      <c r="D70" s="359">
        <f>ROUND(D66*1.03,2)</f>
        <v>11.74</v>
      </c>
    </row>
    <row r="71" spans="1:4" ht="12.75">
      <c r="A71" s="320"/>
      <c r="B71" s="329" t="s">
        <v>68</v>
      </c>
      <c r="C71" s="328" t="s">
        <v>15</v>
      </c>
      <c r="D71" s="359">
        <v>23</v>
      </c>
    </row>
    <row r="72" spans="1:4" ht="12.75">
      <c r="A72" s="320"/>
      <c r="B72" s="329" t="s">
        <v>69</v>
      </c>
      <c r="C72" s="328" t="s">
        <v>15</v>
      </c>
      <c r="D72" s="359">
        <f>ROUND(D66*25,2)</f>
        <v>285</v>
      </c>
    </row>
    <row r="73" spans="1:4" ht="12.75">
      <c r="A73" s="320"/>
      <c r="B73" s="330" t="s">
        <v>70</v>
      </c>
      <c r="C73" s="336" t="s">
        <v>12</v>
      </c>
      <c r="D73" s="360">
        <f>ROUND(D66*1.5,2)</f>
        <v>17.1</v>
      </c>
    </row>
    <row r="74" spans="1:4" ht="12.75">
      <c r="A74" s="320"/>
      <c r="B74" s="311" t="s">
        <v>71</v>
      </c>
      <c r="C74" s="318" t="s">
        <v>12</v>
      </c>
      <c r="D74" s="300">
        <f>ROUND(D66*1.2,2)</f>
        <v>13.68</v>
      </c>
    </row>
    <row r="75" spans="1:4" ht="12.75">
      <c r="A75" s="320"/>
      <c r="B75" s="311" t="s">
        <v>72</v>
      </c>
      <c r="C75" s="318" t="s">
        <v>65</v>
      </c>
      <c r="D75" s="300">
        <f>ROUND(D66*0.8,2)</f>
        <v>9.12</v>
      </c>
    </row>
    <row r="76" spans="1:4" ht="12.75">
      <c r="A76" s="320">
        <v>12</v>
      </c>
      <c r="B76" s="327" t="s">
        <v>1419</v>
      </c>
      <c r="C76" s="328" t="s">
        <v>51</v>
      </c>
      <c r="D76" s="359">
        <v>18</v>
      </c>
    </row>
    <row r="77" spans="1:4" ht="25.5">
      <c r="A77" s="320">
        <v>13</v>
      </c>
      <c r="B77" s="333" t="s">
        <v>78</v>
      </c>
      <c r="C77" s="318" t="s">
        <v>51</v>
      </c>
      <c r="D77" s="300">
        <f>ROUND((D57+D66)*2+D76,2)</f>
        <v>112.8</v>
      </c>
    </row>
    <row r="78" spans="1:4" ht="12.75">
      <c r="A78" s="320"/>
      <c r="B78" s="311" t="s">
        <v>74</v>
      </c>
      <c r="C78" s="318" t="s">
        <v>75</v>
      </c>
      <c r="D78" s="359">
        <f>ROUND(D77*0.15,2)</f>
        <v>16.92</v>
      </c>
    </row>
    <row r="79" spans="1:4" ht="12.75">
      <c r="A79" s="320"/>
      <c r="B79" s="311" t="s">
        <v>72</v>
      </c>
      <c r="C79" s="318" t="s">
        <v>65</v>
      </c>
      <c r="D79" s="359">
        <f>ROUND(D77*1.6,2)</f>
        <v>180.48</v>
      </c>
    </row>
    <row r="80" spans="1:4" ht="12.75">
      <c r="A80" s="320"/>
      <c r="B80" s="331" t="s">
        <v>76</v>
      </c>
      <c r="C80" s="334" t="s">
        <v>51</v>
      </c>
      <c r="D80" s="360">
        <f>ROUND(D77*0.05,2)</f>
        <v>5.64</v>
      </c>
    </row>
    <row r="81" spans="1:4" ht="12.75">
      <c r="A81" s="320"/>
      <c r="B81" s="337" t="s">
        <v>83</v>
      </c>
      <c r="C81" s="315"/>
      <c r="D81" s="365"/>
    </row>
    <row r="82" spans="1:4" ht="12.75">
      <c r="A82" s="320">
        <v>14</v>
      </c>
      <c r="B82" s="317" t="s">
        <v>59</v>
      </c>
      <c r="C82" s="318" t="s">
        <v>54</v>
      </c>
      <c r="D82" s="303">
        <v>1.92</v>
      </c>
    </row>
    <row r="83" spans="1:4" ht="12.75">
      <c r="A83" s="320"/>
      <c r="B83" s="311" t="s">
        <v>60</v>
      </c>
      <c r="C83" s="318" t="s">
        <v>61</v>
      </c>
      <c r="D83" s="300">
        <v>772</v>
      </c>
    </row>
    <row r="84" spans="1:4" ht="12.75">
      <c r="A84" s="320"/>
      <c r="B84" s="311" t="s">
        <v>62</v>
      </c>
      <c r="C84" s="318" t="s">
        <v>54</v>
      </c>
      <c r="D84" s="300">
        <f>ROUND(D82*0.24,2)</f>
        <v>0.46</v>
      </c>
    </row>
    <row r="85" spans="1:4" ht="12.75">
      <c r="A85" s="320">
        <v>15</v>
      </c>
      <c r="B85" s="327" t="s">
        <v>940</v>
      </c>
      <c r="C85" s="328" t="s">
        <v>51</v>
      </c>
      <c r="D85" s="359">
        <v>17.4</v>
      </c>
    </row>
    <row r="86" spans="1:4" ht="25.5">
      <c r="A86" s="320">
        <v>16</v>
      </c>
      <c r="B86" s="333" t="s">
        <v>78</v>
      </c>
      <c r="C86" s="318" t="s">
        <v>51</v>
      </c>
      <c r="D86" s="300">
        <f>D85</f>
        <v>17.4</v>
      </c>
    </row>
    <row r="87" spans="1:4" ht="12.75">
      <c r="A87" s="320"/>
      <c r="B87" s="311" t="s">
        <v>74</v>
      </c>
      <c r="C87" s="318" t="s">
        <v>75</v>
      </c>
      <c r="D87" s="359">
        <f>ROUND(D86*0.15,2)</f>
        <v>2.61</v>
      </c>
    </row>
    <row r="88" spans="1:4" ht="12.75">
      <c r="A88" s="320"/>
      <c r="B88" s="311" t="s">
        <v>72</v>
      </c>
      <c r="C88" s="318" t="s">
        <v>65</v>
      </c>
      <c r="D88" s="359">
        <f>ROUND(D86*1.6,2)</f>
        <v>27.84</v>
      </c>
    </row>
    <row r="89" spans="1:4" ht="12.75">
      <c r="A89" s="320"/>
      <c r="B89" s="331" t="s">
        <v>76</v>
      </c>
      <c r="C89" s="334" t="s">
        <v>51</v>
      </c>
      <c r="D89" s="360">
        <f>ROUND(D86*0.05,2)</f>
        <v>0.87</v>
      </c>
    </row>
    <row r="90" spans="1:4" ht="12.75">
      <c r="A90" s="320"/>
      <c r="B90" s="337" t="s">
        <v>84</v>
      </c>
      <c r="C90" s="315"/>
      <c r="D90" s="365"/>
    </row>
    <row r="91" spans="1:4" ht="12.75">
      <c r="A91" s="320">
        <v>17</v>
      </c>
      <c r="B91" s="317" t="s">
        <v>59</v>
      </c>
      <c r="C91" s="318" t="s">
        <v>54</v>
      </c>
      <c r="D91" s="303">
        <v>3.54</v>
      </c>
    </row>
    <row r="92" spans="1:4" ht="12.75">
      <c r="A92" s="320"/>
      <c r="B92" s="311" t="s">
        <v>60</v>
      </c>
      <c r="C92" s="318" t="s">
        <v>61</v>
      </c>
      <c r="D92" s="300">
        <v>1423</v>
      </c>
    </row>
    <row r="93" spans="1:4" ht="12.75">
      <c r="A93" s="320"/>
      <c r="B93" s="311" t="s">
        <v>62</v>
      </c>
      <c r="C93" s="318" t="s">
        <v>54</v>
      </c>
      <c r="D93" s="300">
        <f>ROUND(D91*0.24,2)</f>
        <v>0.85</v>
      </c>
    </row>
    <row r="94" spans="1:4" ht="38.25">
      <c r="A94" s="320">
        <v>18</v>
      </c>
      <c r="B94" s="327" t="s">
        <v>1395</v>
      </c>
      <c r="C94" s="328" t="s">
        <v>51</v>
      </c>
      <c r="D94" s="359">
        <v>22.5</v>
      </c>
    </row>
    <row r="95" spans="1:4" ht="12.75">
      <c r="A95" s="320"/>
      <c r="B95" s="329" t="s">
        <v>1545</v>
      </c>
      <c r="C95" s="328" t="s">
        <v>51</v>
      </c>
      <c r="D95" s="359">
        <f>ROUND(D94*4.24,2)</f>
        <v>95.4</v>
      </c>
    </row>
    <row r="96" spans="1:4" ht="12.75">
      <c r="A96" s="320"/>
      <c r="B96" s="329" t="s">
        <v>67</v>
      </c>
      <c r="C96" s="328" t="s">
        <v>51</v>
      </c>
      <c r="D96" s="359">
        <f>ROUND(D94*1.03,2)</f>
        <v>23.18</v>
      </c>
    </row>
    <row r="97" spans="1:4" ht="12.75">
      <c r="A97" s="320"/>
      <c r="B97" s="329" t="s">
        <v>73</v>
      </c>
      <c r="C97" s="328" t="s">
        <v>51</v>
      </c>
      <c r="D97" s="359">
        <f>ROUND(D94*1.03,2)</f>
        <v>23.18</v>
      </c>
    </row>
    <row r="98" spans="1:4" ht="12.75">
      <c r="A98" s="320"/>
      <c r="B98" s="329" t="s">
        <v>68</v>
      </c>
      <c r="C98" s="328" t="s">
        <v>15</v>
      </c>
      <c r="D98" s="359">
        <f>ROUND(D94*2,2)</f>
        <v>45</v>
      </c>
    </row>
    <row r="99" spans="1:4" ht="12.75">
      <c r="A99" s="320"/>
      <c r="B99" s="329" t="s">
        <v>69</v>
      </c>
      <c r="C99" s="328" t="s">
        <v>15</v>
      </c>
      <c r="D99" s="359">
        <v>563</v>
      </c>
    </row>
    <row r="100" spans="1:4" ht="12.75">
      <c r="A100" s="320"/>
      <c r="B100" s="330" t="s">
        <v>70</v>
      </c>
      <c r="C100" s="336" t="s">
        <v>12</v>
      </c>
      <c r="D100" s="360">
        <f>ROUND(D94*1.5,2)</f>
        <v>33.75</v>
      </c>
    </row>
    <row r="101" spans="1:4" ht="12.75">
      <c r="A101" s="320"/>
      <c r="B101" s="311" t="s">
        <v>71</v>
      </c>
      <c r="C101" s="318" t="s">
        <v>12</v>
      </c>
      <c r="D101" s="300">
        <f>ROUND(D94*1.2,2)</f>
        <v>27</v>
      </c>
    </row>
    <row r="102" spans="1:4" ht="12.75">
      <c r="A102" s="320"/>
      <c r="B102" s="311" t="s">
        <v>72</v>
      </c>
      <c r="C102" s="318" t="s">
        <v>65</v>
      </c>
      <c r="D102" s="300">
        <f>ROUND(D94*0.8,2)</f>
        <v>18</v>
      </c>
    </row>
    <row r="103" spans="1:4" ht="25.5">
      <c r="A103" s="320">
        <v>19</v>
      </c>
      <c r="B103" s="327" t="s">
        <v>77</v>
      </c>
      <c r="C103" s="328" t="s">
        <v>51</v>
      </c>
      <c r="D103" s="359">
        <v>9.75</v>
      </c>
    </row>
    <row r="104" spans="1:4" ht="12.75">
      <c r="A104" s="320"/>
      <c r="B104" s="329" t="s">
        <v>1546</v>
      </c>
      <c r="C104" s="328" t="s">
        <v>51</v>
      </c>
      <c r="D104" s="359">
        <f>ROUND(D103*4.24,2)</f>
        <v>41.34</v>
      </c>
    </row>
    <row r="105" spans="1:4" ht="12.75">
      <c r="A105" s="320"/>
      <c r="B105" s="329" t="s">
        <v>67</v>
      </c>
      <c r="C105" s="328" t="s">
        <v>51</v>
      </c>
      <c r="D105" s="359">
        <f>ROUND(D103*1.03,2)</f>
        <v>10.04</v>
      </c>
    </row>
    <row r="106" spans="1:4" ht="12.75">
      <c r="A106" s="320"/>
      <c r="B106" s="329" t="s">
        <v>73</v>
      </c>
      <c r="C106" s="328" t="s">
        <v>51</v>
      </c>
      <c r="D106" s="359">
        <f>ROUND(D103*1.03,2)</f>
        <v>10.04</v>
      </c>
    </row>
    <row r="107" spans="1:4" ht="12.75">
      <c r="A107" s="320"/>
      <c r="B107" s="329" t="s">
        <v>68</v>
      </c>
      <c r="C107" s="328" t="s">
        <v>15</v>
      </c>
      <c r="D107" s="359">
        <v>20</v>
      </c>
    </row>
    <row r="108" spans="1:4" ht="12.75">
      <c r="A108" s="320"/>
      <c r="B108" s="329" t="s">
        <v>69</v>
      </c>
      <c r="C108" s="328" t="s">
        <v>15</v>
      </c>
      <c r="D108" s="359">
        <v>244</v>
      </c>
    </row>
    <row r="109" spans="1:4" ht="12.75">
      <c r="A109" s="320"/>
      <c r="B109" s="330" t="s">
        <v>70</v>
      </c>
      <c r="C109" s="336" t="s">
        <v>12</v>
      </c>
      <c r="D109" s="360">
        <f>ROUND(D103*1.5,2)</f>
        <v>14.63</v>
      </c>
    </row>
    <row r="110" spans="1:4" ht="12.75">
      <c r="A110" s="320"/>
      <c r="B110" s="311" t="s">
        <v>71</v>
      </c>
      <c r="C110" s="318" t="s">
        <v>12</v>
      </c>
      <c r="D110" s="300">
        <f>ROUND(D103*1.2,2)</f>
        <v>11.7</v>
      </c>
    </row>
    <row r="111" spans="1:4" ht="12.75">
      <c r="A111" s="320"/>
      <c r="B111" s="311" t="s">
        <v>72</v>
      </c>
      <c r="C111" s="318" t="s">
        <v>65</v>
      </c>
      <c r="D111" s="300">
        <f>ROUND(D103*0.8,2)</f>
        <v>7.8</v>
      </c>
    </row>
    <row r="112" spans="1:4" ht="89.25">
      <c r="A112" s="320">
        <v>20</v>
      </c>
      <c r="B112" s="333" t="s">
        <v>1671</v>
      </c>
      <c r="C112" s="318" t="s">
        <v>51</v>
      </c>
      <c r="D112" s="300">
        <v>220</v>
      </c>
    </row>
    <row r="113" spans="1:4" ht="12.75">
      <c r="A113" s="320"/>
      <c r="B113" s="338" t="s">
        <v>1396</v>
      </c>
      <c r="C113" s="339" t="s">
        <v>51</v>
      </c>
      <c r="D113" s="361">
        <f>ROUND(D112*2.12,2)</f>
        <v>466.4</v>
      </c>
    </row>
    <row r="114" spans="1:4" ht="12.75">
      <c r="A114" s="340"/>
      <c r="B114" s="341" t="s">
        <v>67</v>
      </c>
      <c r="C114" s="342" t="s">
        <v>51</v>
      </c>
      <c r="D114" s="362">
        <f>ROUND(D112*1.03,2)</f>
        <v>226.6</v>
      </c>
    </row>
    <row r="115" spans="1:4" ht="25.5">
      <c r="A115" s="320"/>
      <c r="B115" s="343" t="s">
        <v>1397</v>
      </c>
      <c r="C115" s="270" t="s">
        <v>51</v>
      </c>
      <c r="D115" s="301">
        <f>ROUND(D112*1.03,2)</f>
        <v>226.6</v>
      </c>
    </row>
    <row r="116" spans="1:4" ht="25.5">
      <c r="A116" s="320"/>
      <c r="B116" s="343" t="s">
        <v>1398</v>
      </c>
      <c r="C116" s="270" t="s">
        <v>51</v>
      </c>
      <c r="D116" s="301"/>
    </row>
    <row r="117" spans="1:4" ht="12.75">
      <c r="A117" s="320"/>
      <c r="B117" s="343" t="s">
        <v>68</v>
      </c>
      <c r="C117" s="270" t="s">
        <v>15</v>
      </c>
      <c r="D117" s="301">
        <f>ROUND(D112*2,2)</f>
        <v>440</v>
      </c>
    </row>
    <row r="118" spans="1:4" ht="12.75">
      <c r="A118" s="320"/>
      <c r="B118" s="343" t="s">
        <v>69</v>
      </c>
      <c r="C118" s="270" t="s">
        <v>15</v>
      </c>
      <c r="D118" s="301">
        <f>ROUND(D112*25,2)</f>
        <v>5500</v>
      </c>
    </row>
    <row r="119" spans="1:4" ht="12.75">
      <c r="A119" s="320"/>
      <c r="B119" s="343" t="s">
        <v>70</v>
      </c>
      <c r="C119" s="270" t="s">
        <v>12</v>
      </c>
      <c r="D119" s="301">
        <f>ROUND(D112*1.5,2)</f>
        <v>330</v>
      </c>
    </row>
    <row r="120" spans="1:4" ht="12.75">
      <c r="A120" s="320"/>
      <c r="B120" s="343" t="s">
        <v>71</v>
      </c>
      <c r="C120" s="270" t="s">
        <v>12</v>
      </c>
      <c r="D120" s="301">
        <f>ROUND(D112*1.2,2)</f>
        <v>264</v>
      </c>
    </row>
    <row r="121" spans="1:4" ht="12.75">
      <c r="A121" s="320"/>
      <c r="B121" s="343" t="s">
        <v>72</v>
      </c>
      <c r="C121" s="270" t="s">
        <v>65</v>
      </c>
      <c r="D121" s="301">
        <f>ROUND(D112*0.8,2)</f>
        <v>176</v>
      </c>
    </row>
    <row r="122" spans="1:4" ht="89.25">
      <c r="A122" s="320">
        <v>21</v>
      </c>
      <c r="B122" s="333" t="s">
        <v>1672</v>
      </c>
      <c r="C122" s="318" t="s">
        <v>51</v>
      </c>
      <c r="D122" s="300">
        <v>18</v>
      </c>
    </row>
    <row r="123" spans="1:4" ht="12.75">
      <c r="A123" s="320"/>
      <c r="B123" s="338" t="s">
        <v>1396</v>
      </c>
      <c r="C123" s="339" t="s">
        <v>51</v>
      </c>
      <c r="D123" s="361">
        <f>ROUND(D122*2.12,2)</f>
        <v>38.16</v>
      </c>
    </row>
    <row r="124" spans="1:4" ht="12.75">
      <c r="A124" s="320"/>
      <c r="B124" s="341" t="s">
        <v>67</v>
      </c>
      <c r="C124" s="342" t="s">
        <v>51</v>
      </c>
      <c r="D124" s="362">
        <f>ROUND(D122*1.03,2)</f>
        <v>18.54</v>
      </c>
    </row>
    <row r="125" spans="1:4" ht="25.5">
      <c r="A125" s="320"/>
      <c r="B125" s="343" t="s">
        <v>1397</v>
      </c>
      <c r="C125" s="270" t="s">
        <v>51</v>
      </c>
      <c r="D125" s="301">
        <f>ROUND(D122*1.03,2)</f>
        <v>18.54</v>
      </c>
    </row>
    <row r="126" spans="1:4" ht="25.5">
      <c r="A126" s="320"/>
      <c r="B126" s="343" t="s">
        <v>1398</v>
      </c>
      <c r="C126" s="270" t="s">
        <v>51</v>
      </c>
      <c r="D126" s="301"/>
    </row>
    <row r="127" spans="1:4" ht="12.75">
      <c r="A127" s="320"/>
      <c r="B127" s="343" t="s">
        <v>68</v>
      </c>
      <c r="C127" s="270" t="s">
        <v>15</v>
      </c>
      <c r="D127" s="301">
        <f>ROUND(D122*2,2)</f>
        <v>36</v>
      </c>
    </row>
    <row r="128" spans="1:4" ht="12.75">
      <c r="A128" s="320"/>
      <c r="B128" s="343" t="s">
        <v>69</v>
      </c>
      <c r="C128" s="270" t="s">
        <v>15</v>
      </c>
      <c r="D128" s="301">
        <f>ROUND(D122*25,2)</f>
        <v>450</v>
      </c>
    </row>
    <row r="129" spans="1:4" ht="12.75">
      <c r="A129" s="320"/>
      <c r="B129" s="343" t="s">
        <v>70</v>
      </c>
      <c r="C129" s="270" t="s">
        <v>12</v>
      </c>
      <c r="D129" s="301">
        <f>ROUND(D122*1.5,2)</f>
        <v>27</v>
      </c>
    </row>
    <row r="130" spans="1:4" ht="12.75">
      <c r="A130" s="320"/>
      <c r="B130" s="343" t="s">
        <v>71</v>
      </c>
      <c r="C130" s="270" t="s">
        <v>12</v>
      </c>
      <c r="D130" s="301">
        <f>ROUND(D122*1.2,2)</f>
        <v>21.6</v>
      </c>
    </row>
    <row r="131" spans="1:4" ht="12.75">
      <c r="A131" s="320"/>
      <c r="B131" s="343" t="s">
        <v>72</v>
      </c>
      <c r="C131" s="270" t="s">
        <v>65</v>
      </c>
      <c r="D131" s="301">
        <f>ROUND(D122*0.8,2)</f>
        <v>14.4</v>
      </c>
    </row>
    <row r="132" spans="1:4" ht="12.75">
      <c r="A132" s="320">
        <v>22</v>
      </c>
      <c r="B132" s="327" t="s">
        <v>1419</v>
      </c>
      <c r="C132" s="328" t="s">
        <v>51</v>
      </c>
      <c r="D132" s="359">
        <f>10.5+3.3</f>
        <v>13.8</v>
      </c>
    </row>
    <row r="133" spans="1:4" ht="25.5">
      <c r="A133" s="320">
        <v>23</v>
      </c>
      <c r="B133" s="333" t="s">
        <v>78</v>
      </c>
      <c r="C133" s="318" t="s">
        <v>51</v>
      </c>
      <c r="D133" s="300">
        <f>ROUND((D94+D103)*2+D112+D122+D132,2)</f>
        <v>316.3</v>
      </c>
    </row>
    <row r="134" spans="1:4" ht="12.75">
      <c r="A134" s="320"/>
      <c r="B134" s="311" t="s">
        <v>74</v>
      </c>
      <c r="C134" s="318" t="s">
        <v>75</v>
      </c>
      <c r="D134" s="359">
        <f>ROUND(D133*0.15,2)</f>
        <v>47.45</v>
      </c>
    </row>
    <row r="135" spans="1:4" ht="12.75">
      <c r="A135" s="320"/>
      <c r="B135" s="311" t="s">
        <v>72</v>
      </c>
      <c r="C135" s="318" t="s">
        <v>65</v>
      </c>
      <c r="D135" s="359">
        <f>ROUND(D133*1.6,2)</f>
        <v>506.08</v>
      </c>
    </row>
    <row r="136" spans="1:4" ht="12.75">
      <c r="A136" s="320"/>
      <c r="B136" s="331" t="s">
        <v>76</v>
      </c>
      <c r="C136" s="334" t="s">
        <v>51</v>
      </c>
      <c r="D136" s="360">
        <f>ROUND(D133*0.05,2)</f>
        <v>15.82</v>
      </c>
    </row>
    <row r="137" spans="1:4" ht="12.75">
      <c r="A137" s="320"/>
      <c r="B137" s="337" t="s">
        <v>85</v>
      </c>
      <c r="C137" s="315"/>
      <c r="D137" s="365"/>
    </row>
    <row r="138" spans="1:4" ht="25.5">
      <c r="A138" s="320">
        <v>24</v>
      </c>
      <c r="B138" s="327" t="s">
        <v>77</v>
      </c>
      <c r="C138" s="328" t="s">
        <v>51</v>
      </c>
      <c r="D138" s="359">
        <v>8.1</v>
      </c>
    </row>
    <row r="139" spans="1:4" ht="12.75">
      <c r="A139" s="320"/>
      <c r="B139" s="329" t="s">
        <v>1545</v>
      </c>
      <c r="C139" s="328" t="s">
        <v>51</v>
      </c>
      <c r="D139" s="359">
        <f>ROUND(D138*4.24,2)</f>
        <v>34.34</v>
      </c>
    </row>
    <row r="140" spans="1:4" ht="12.75">
      <c r="A140" s="320"/>
      <c r="B140" s="329" t="s">
        <v>67</v>
      </c>
      <c r="C140" s="328" t="s">
        <v>51</v>
      </c>
      <c r="D140" s="359">
        <f>ROUND(D138*1.03,2)</f>
        <v>8.34</v>
      </c>
    </row>
    <row r="141" spans="1:4" ht="12.75">
      <c r="A141" s="320"/>
      <c r="B141" s="329" t="s">
        <v>73</v>
      </c>
      <c r="C141" s="328" t="s">
        <v>51</v>
      </c>
      <c r="D141" s="359">
        <f>ROUND(D138*1.03,2)</f>
        <v>8.34</v>
      </c>
    </row>
    <row r="142" spans="1:4" ht="12.75">
      <c r="A142" s="320"/>
      <c r="B142" s="329" t="s">
        <v>68</v>
      </c>
      <c r="C142" s="328" t="s">
        <v>15</v>
      </c>
      <c r="D142" s="359">
        <v>16</v>
      </c>
    </row>
    <row r="143" spans="1:4" ht="12.75">
      <c r="A143" s="320"/>
      <c r="B143" s="329" t="s">
        <v>69</v>
      </c>
      <c r="C143" s="328" t="s">
        <v>15</v>
      </c>
      <c r="D143" s="359">
        <v>203</v>
      </c>
    </row>
    <row r="144" spans="1:4" ht="12.75">
      <c r="A144" s="320"/>
      <c r="B144" s="330" t="s">
        <v>70</v>
      </c>
      <c r="C144" s="336" t="s">
        <v>12</v>
      </c>
      <c r="D144" s="360">
        <f>ROUND(D138*1.5,2)</f>
        <v>12.15</v>
      </c>
    </row>
    <row r="145" spans="1:4" ht="12.75">
      <c r="A145" s="320"/>
      <c r="B145" s="311" t="s">
        <v>71</v>
      </c>
      <c r="C145" s="318" t="s">
        <v>12</v>
      </c>
      <c r="D145" s="300">
        <f>ROUND(D138*1.2,2)</f>
        <v>9.72</v>
      </c>
    </row>
    <row r="146" spans="1:4" ht="12.75">
      <c r="A146" s="320"/>
      <c r="B146" s="311" t="s">
        <v>72</v>
      </c>
      <c r="C146" s="318" t="s">
        <v>65</v>
      </c>
      <c r="D146" s="300">
        <f>ROUND(D138*0.8,2)</f>
        <v>6.48</v>
      </c>
    </row>
    <row r="147" spans="1:4" ht="51">
      <c r="A147" s="320">
        <v>25</v>
      </c>
      <c r="B147" s="327" t="s">
        <v>1673</v>
      </c>
      <c r="C147" s="328" t="s">
        <v>51</v>
      </c>
      <c r="D147" s="359">
        <v>9</v>
      </c>
    </row>
    <row r="148" spans="1:4" ht="12.75">
      <c r="A148" s="320"/>
      <c r="B148" s="329" t="s">
        <v>1547</v>
      </c>
      <c r="C148" s="328" t="s">
        <v>51</v>
      </c>
      <c r="D148" s="359">
        <f>ROUND(D147*4.24,2)</f>
        <v>38.16</v>
      </c>
    </row>
    <row r="149" spans="1:4" ht="12.75">
      <c r="A149" s="320"/>
      <c r="B149" s="329" t="s">
        <v>67</v>
      </c>
      <c r="C149" s="328" t="s">
        <v>51</v>
      </c>
      <c r="D149" s="359">
        <f>ROUND(D147*1.03,2)</f>
        <v>9.27</v>
      </c>
    </row>
    <row r="150" spans="1:4" ht="12.75">
      <c r="A150" s="320"/>
      <c r="B150" s="329" t="s">
        <v>73</v>
      </c>
      <c r="C150" s="328" t="s">
        <v>51</v>
      </c>
      <c r="D150" s="359">
        <f>ROUND(D147*1.03,2)</f>
        <v>9.27</v>
      </c>
    </row>
    <row r="151" spans="1:4" ht="12.75">
      <c r="A151" s="320"/>
      <c r="B151" s="329" t="s">
        <v>68</v>
      </c>
      <c r="C151" s="328" t="s">
        <v>15</v>
      </c>
      <c r="D151" s="359">
        <f>ROUND(D147*2,2)</f>
        <v>18</v>
      </c>
    </row>
    <row r="152" spans="1:4" ht="12.75">
      <c r="A152" s="320"/>
      <c r="B152" s="329" t="s">
        <v>69</v>
      </c>
      <c r="C152" s="328" t="s">
        <v>15</v>
      </c>
      <c r="D152" s="359">
        <f>ROUND(D147*25,2)</f>
        <v>225</v>
      </c>
    </row>
    <row r="153" spans="1:4" ht="12.75">
      <c r="A153" s="320"/>
      <c r="B153" s="330" t="s">
        <v>70</v>
      </c>
      <c r="C153" s="336" t="s">
        <v>12</v>
      </c>
      <c r="D153" s="360">
        <f>ROUND(D147*1.5,2)</f>
        <v>13.5</v>
      </c>
    </row>
    <row r="154" spans="1:4" ht="12.75">
      <c r="A154" s="320"/>
      <c r="B154" s="311" t="s">
        <v>71</v>
      </c>
      <c r="C154" s="318" t="s">
        <v>12</v>
      </c>
      <c r="D154" s="300">
        <f>ROUND(D147*1.2,2)</f>
        <v>10.8</v>
      </c>
    </row>
    <row r="155" spans="1:4" ht="12.75">
      <c r="A155" s="320"/>
      <c r="B155" s="311" t="s">
        <v>72</v>
      </c>
      <c r="C155" s="318" t="s">
        <v>65</v>
      </c>
      <c r="D155" s="300">
        <f>ROUND(D147*0.8,2)</f>
        <v>7.2</v>
      </c>
    </row>
    <row r="156" spans="1:4" ht="38.25">
      <c r="A156" s="320">
        <v>26</v>
      </c>
      <c r="B156" s="327" t="s">
        <v>1399</v>
      </c>
      <c r="C156" s="328" t="s">
        <v>51</v>
      </c>
      <c r="D156" s="359">
        <v>18.3</v>
      </c>
    </row>
    <row r="157" spans="1:4" ht="12.75">
      <c r="A157" s="320"/>
      <c r="B157" s="329" t="s">
        <v>1545</v>
      </c>
      <c r="C157" s="328" t="s">
        <v>51</v>
      </c>
      <c r="D157" s="359">
        <f>ROUND(D156*4.24,2)</f>
        <v>77.59</v>
      </c>
    </row>
    <row r="158" spans="1:4" ht="12.75">
      <c r="A158" s="320"/>
      <c r="B158" s="329" t="s">
        <v>67</v>
      </c>
      <c r="C158" s="328" t="s">
        <v>51</v>
      </c>
      <c r="D158" s="359">
        <f>ROUND(D156*1.03,2)</f>
        <v>18.85</v>
      </c>
    </row>
    <row r="159" spans="1:4" ht="12.75">
      <c r="A159" s="320"/>
      <c r="B159" s="329" t="s">
        <v>79</v>
      </c>
      <c r="C159" s="328" t="s">
        <v>51</v>
      </c>
      <c r="D159" s="359">
        <f>ROUND(D156*1.03,2)</f>
        <v>18.85</v>
      </c>
    </row>
    <row r="160" spans="1:4" ht="12.75">
      <c r="A160" s="320"/>
      <c r="B160" s="329" t="s">
        <v>68</v>
      </c>
      <c r="C160" s="328" t="s">
        <v>15</v>
      </c>
      <c r="D160" s="359">
        <v>37</v>
      </c>
    </row>
    <row r="161" spans="1:4" ht="12.75">
      <c r="A161" s="320"/>
      <c r="B161" s="329" t="s">
        <v>69</v>
      </c>
      <c r="C161" s="328" t="s">
        <v>15</v>
      </c>
      <c r="D161" s="359">
        <v>458</v>
      </c>
    </row>
    <row r="162" spans="1:4" ht="12.75">
      <c r="A162" s="320"/>
      <c r="B162" s="329" t="s">
        <v>70</v>
      </c>
      <c r="C162" s="328" t="s">
        <v>12</v>
      </c>
      <c r="D162" s="359">
        <f>ROUND(D156*1.5,2)</f>
        <v>27.45</v>
      </c>
    </row>
    <row r="163" spans="1:4" ht="12.75">
      <c r="A163" s="320"/>
      <c r="B163" s="330" t="s">
        <v>71</v>
      </c>
      <c r="C163" s="328" t="s">
        <v>12</v>
      </c>
      <c r="D163" s="359">
        <f>ROUND(D156*1.2,2)</f>
        <v>21.96</v>
      </c>
    </row>
    <row r="164" spans="1:4" ht="12.75">
      <c r="A164" s="320"/>
      <c r="B164" s="331" t="s">
        <v>72</v>
      </c>
      <c r="C164" s="332" t="s">
        <v>65</v>
      </c>
      <c r="D164" s="360">
        <f>ROUND(D156*0.8,2)</f>
        <v>14.64</v>
      </c>
    </row>
    <row r="165" spans="1:4" ht="12.75">
      <c r="A165" s="320">
        <v>27</v>
      </c>
      <c r="B165" s="327" t="s">
        <v>1419</v>
      </c>
      <c r="C165" s="328" t="s">
        <v>51</v>
      </c>
      <c r="D165" s="359">
        <v>2.7</v>
      </c>
    </row>
    <row r="166" spans="1:4" ht="25.5">
      <c r="A166" s="320">
        <v>28</v>
      </c>
      <c r="B166" s="333" t="s">
        <v>78</v>
      </c>
      <c r="C166" s="318" t="s">
        <v>51</v>
      </c>
      <c r="D166" s="300">
        <f>ROUND((D138+D147+D156)*2+D165,2)</f>
        <v>73.5</v>
      </c>
    </row>
    <row r="167" spans="1:4" ht="12.75">
      <c r="A167" s="320"/>
      <c r="B167" s="311" t="s">
        <v>74</v>
      </c>
      <c r="C167" s="318" t="s">
        <v>75</v>
      </c>
      <c r="D167" s="359">
        <f>ROUND(D166*0.15,2)</f>
        <v>11.03</v>
      </c>
    </row>
    <row r="168" spans="1:4" ht="12.75">
      <c r="A168" s="320"/>
      <c r="B168" s="311" t="s">
        <v>72</v>
      </c>
      <c r="C168" s="318" t="s">
        <v>65</v>
      </c>
      <c r="D168" s="359">
        <f>ROUND(D166*1.6,2)</f>
        <v>117.6</v>
      </c>
    </row>
    <row r="169" spans="1:4" ht="12.75">
      <c r="A169" s="320"/>
      <c r="B169" s="331" t="s">
        <v>76</v>
      </c>
      <c r="C169" s="334" t="s">
        <v>51</v>
      </c>
      <c r="D169" s="360">
        <f>ROUND(D166*0.05,2)</f>
        <v>3.68</v>
      </c>
    </row>
    <row r="170" spans="1:4" ht="12.75">
      <c r="A170" s="320"/>
      <c r="B170" s="344" t="s">
        <v>200</v>
      </c>
      <c r="C170" s="345"/>
      <c r="D170" s="366"/>
    </row>
    <row r="171" spans="1:4" ht="63.75">
      <c r="A171" s="320">
        <v>29</v>
      </c>
      <c r="B171" s="346" t="s">
        <v>1472</v>
      </c>
      <c r="C171" s="347" t="s">
        <v>51</v>
      </c>
      <c r="D171" s="363">
        <f>ROUND((52.81+12.55+12.55)*2.1,2)</f>
        <v>163.61</v>
      </c>
    </row>
    <row r="172" spans="1:4" ht="12.75">
      <c r="A172" s="320">
        <v>30</v>
      </c>
      <c r="B172" s="346" t="s">
        <v>1400</v>
      </c>
      <c r="C172" s="347" t="s">
        <v>3</v>
      </c>
      <c r="D172" s="363">
        <v>1</v>
      </c>
    </row>
    <row r="173" spans="1:4" ht="12.75">
      <c r="A173" s="273" t="s">
        <v>0</v>
      </c>
      <c r="B173" s="348" t="s">
        <v>1</v>
      </c>
      <c r="C173" s="349"/>
      <c r="D173" s="367"/>
    </row>
    <row r="174" spans="1:4" ht="140.25" customHeight="1">
      <c r="A174" s="273"/>
      <c r="B174" s="269" t="s">
        <v>1466</v>
      </c>
      <c r="C174" s="349" t="s">
        <v>2</v>
      </c>
      <c r="D174" s="367">
        <v>1</v>
      </c>
    </row>
    <row r="175" spans="1:4" ht="12.75">
      <c r="A175" s="284"/>
      <c r="B175" s="541" t="s">
        <v>13</v>
      </c>
      <c r="C175" s="542"/>
      <c r="D175" s="285"/>
    </row>
    <row r="176" spans="1:4" ht="12.75">
      <c r="A176" s="354"/>
      <c r="B176" s="355"/>
      <c r="C176" s="355"/>
      <c r="D176" s="356"/>
    </row>
    <row r="177" spans="1:4" ht="12.75">
      <c r="A177" s="287" t="s">
        <v>14</v>
      </c>
      <c r="B177" s="288"/>
      <c r="D177" s="286"/>
    </row>
    <row r="178" spans="1:4" ht="12.75">
      <c r="A178" s="289"/>
      <c r="B178" s="290" t="s">
        <v>4</v>
      </c>
      <c r="D178" s="286"/>
    </row>
    <row r="179" spans="1:4" ht="12.75">
      <c r="A179" s="289"/>
      <c r="B179" s="291"/>
      <c r="D179" s="286"/>
    </row>
    <row r="180" spans="1:4" ht="12.75">
      <c r="A180" s="287" t="s">
        <v>6</v>
      </c>
      <c r="B180" s="288"/>
      <c r="D180" s="286"/>
    </row>
    <row r="181" spans="1:4" ht="12.75">
      <c r="A181" s="289"/>
      <c r="B181" s="290" t="s">
        <v>4</v>
      </c>
      <c r="D181" s="286"/>
    </row>
    <row r="182" spans="1:4" ht="12.75">
      <c r="A182" s="289" t="s">
        <v>5</v>
      </c>
      <c r="B182" s="292"/>
      <c r="D182" s="286"/>
    </row>
    <row r="183" spans="1:4" ht="12.75">
      <c r="A183" s="289"/>
      <c r="B183" s="351"/>
      <c r="D183" s="286"/>
    </row>
  </sheetData>
  <sheetProtection/>
  <mergeCells count="8">
    <mergeCell ref="A1:D1"/>
    <mergeCell ref="A5:D5"/>
    <mergeCell ref="A6:D6"/>
    <mergeCell ref="A7:D7"/>
    <mergeCell ref="B175:C175"/>
    <mergeCell ref="A2:D2"/>
    <mergeCell ref="A3:D3"/>
    <mergeCell ref="A9:D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0000"/>
  </sheetPr>
  <dimension ref="A1:D57"/>
  <sheetViews>
    <sheetView showZeros="0" view="pageBreakPreview" zoomScale="115" zoomScaleSheetLayoutView="115" zoomScalePageLayoutView="0" workbookViewId="0" topLeftCell="A8">
      <selection activeCell="J49" sqref="J49"/>
    </sheetView>
  </sheetViews>
  <sheetFormatPr defaultColWidth="11.421875" defaultRowHeight="15"/>
  <cols>
    <col min="1" max="1" width="11.00390625" style="3" customWidth="1"/>
    <col min="2" max="2" width="50.7109375" style="3" customWidth="1"/>
    <col min="3" max="3" width="12.57421875" style="3" customWidth="1"/>
    <col min="4" max="4" width="12.00390625" style="25" customWidth="1"/>
    <col min="5" max="16384" width="11.421875" style="2" customWidth="1"/>
  </cols>
  <sheetData>
    <row r="1" spans="1:4" ht="15.75">
      <c r="A1" s="544" t="s">
        <v>1536</v>
      </c>
      <c r="B1" s="544"/>
      <c r="C1" s="544"/>
      <c r="D1" s="544"/>
    </row>
    <row r="2" spans="1:4" ht="18" customHeight="1">
      <c r="A2" s="545" t="s">
        <v>641</v>
      </c>
      <c r="B2" s="545"/>
      <c r="C2" s="545"/>
      <c r="D2" s="545"/>
    </row>
    <row r="3" spans="1:4" ht="15.75" customHeight="1">
      <c r="A3" s="546" t="s">
        <v>1452</v>
      </c>
      <c r="B3" s="546"/>
      <c r="C3" s="546"/>
      <c r="D3" s="546"/>
    </row>
    <row r="4" spans="1:4" ht="15.75">
      <c r="A4" s="124"/>
      <c r="B4" s="124"/>
      <c r="C4" s="124"/>
      <c r="D4" s="124"/>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75">
      <c r="A9" s="558"/>
      <c r="B9" s="558"/>
      <c r="C9" s="558"/>
      <c r="D9" s="558"/>
    </row>
    <row r="10" spans="1:4" ht="15.75">
      <c r="A10" s="550" t="s">
        <v>1537</v>
      </c>
      <c r="B10" s="550"/>
      <c r="C10" s="557"/>
      <c r="D10" s="557"/>
    </row>
    <row r="11" spans="1:4" ht="16.5">
      <c r="A11" s="215"/>
      <c r="B11" s="215"/>
      <c r="C11" s="215"/>
      <c r="D11" s="215"/>
    </row>
    <row r="12" spans="1:4" ht="50.25" customHeight="1">
      <c r="A12" s="309" t="s">
        <v>886</v>
      </c>
      <c r="B12" s="299" t="s">
        <v>1455</v>
      </c>
      <c r="C12" s="309" t="s">
        <v>1464</v>
      </c>
      <c r="D12" s="299" t="s">
        <v>1465</v>
      </c>
    </row>
    <row r="13" spans="1:4" ht="15.75">
      <c r="A13" s="260">
        <v>1</v>
      </c>
      <c r="B13" s="260">
        <v>2</v>
      </c>
      <c r="C13" s="260">
        <v>3</v>
      </c>
      <c r="D13" s="260">
        <v>4</v>
      </c>
    </row>
    <row r="14" spans="1:4" s="9" customFormat="1" ht="12.75">
      <c r="A14" s="18"/>
      <c r="B14" s="18" t="s">
        <v>641</v>
      </c>
      <c r="C14" s="18"/>
      <c r="D14" s="18"/>
    </row>
    <row r="15" spans="1:4" s="9" customFormat="1" ht="25.5">
      <c r="A15" s="19" t="s">
        <v>27</v>
      </c>
      <c r="B15" s="100" t="s">
        <v>642</v>
      </c>
      <c r="C15" s="101" t="s">
        <v>175</v>
      </c>
      <c r="D15" s="102">
        <v>1</v>
      </c>
    </row>
    <row r="16" spans="1:4" s="9" customFormat="1" ht="12.75">
      <c r="A16" s="19" t="s">
        <v>34</v>
      </c>
      <c r="B16" s="100" t="s">
        <v>643</v>
      </c>
      <c r="C16" s="101" t="s">
        <v>175</v>
      </c>
      <c r="D16" s="102">
        <v>1</v>
      </c>
    </row>
    <row r="17" spans="1:4" s="9" customFormat="1" ht="12.75">
      <c r="A17" s="19" t="s">
        <v>28</v>
      </c>
      <c r="B17" s="100" t="s">
        <v>644</v>
      </c>
      <c r="C17" s="101" t="s">
        <v>61</v>
      </c>
      <c r="D17" s="102">
        <v>2</v>
      </c>
    </row>
    <row r="18" spans="1:4" s="9" customFormat="1" ht="25.5">
      <c r="A18" s="19" t="s">
        <v>16</v>
      </c>
      <c r="B18" s="100" t="s">
        <v>645</v>
      </c>
      <c r="C18" s="101" t="s">
        <v>61</v>
      </c>
      <c r="D18" s="102">
        <v>2</v>
      </c>
    </row>
    <row r="19" spans="1:4" s="9" customFormat="1" ht="12.75">
      <c r="A19" s="19" t="s">
        <v>48</v>
      </c>
      <c r="B19" s="100" t="s">
        <v>467</v>
      </c>
      <c r="C19" s="101" t="s">
        <v>61</v>
      </c>
      <c r="D19" s="102">
        <v>1</v>
      </c>
    </row>
    <row r="20" spans="1:4" s="9" customFormat="1" ht="12.75">
      <c r="A20" s="19" t="s">
        <v>17</v>
      </c>
      <c r="B20" s="103" t="s">
        <v>646</v>
      </c>
      <c r="C20" s="101" t="s">
        <v>61</v>
      </c>
      <c r="D20" s="104">
        <v>1</v>
      </c>
    </row>
    <row r="21" spans="1:4" s="9" customFormat="1" ht="12.75">
      <c r="A21" s="19" t="s">
        <v>18</v>
      </c>
      <c r="B21" s="100" t="s">
        <v>647</v>
      </c>
      <c r="C21" s="101" t="s">
        <v>61</v>
      </c>
      <c r="D21" s="104">
        <v>2</v>
      </c>
    </row>
    <row r="22" spans="1:4" s="9" customFormat="1" ht="12.75">
      <c r="A22" s="19" t="s">
        <v>19</v>
      </c>
      <c r="B22" s="100" t="s">
        <v>1622</v>
      </c>
      <c r="C22" s="101" t="s">
        <v>61</v>
      </c>
      <c r="D22" s="102">
        <v>1</v>
      </c>
    </row>
    <row r="23" spans="1:4" s="9" customFormat="1" ht="25.5">
      <c r="A23" s="19" t="s">
        <v>403</v>
      </c>
      <c r="B23" s="100" t="s">
        <v>1623</v>
      </c>
      <c r="C23" s="101" t="s">
        <v>61</v>
      </c>
      <c r="D23" s="102">
        <v>2</v>
      </c>
    </row>
    <row r="24" spans="1:4" s="9" customFormat="1" ht="25.5">
      <c r="A24" s="19" t="s">
        <v>404</v>
      </c>
      <c r="B24" s="100" t="s">
        <v>1624</v>
      </c>
      <c r="C24" s="101" t="s">
        <v>61</v>
      </c>
      <c r="D24" s="102">
        <v>3</v>
      </c>
    </row>
    <row r="25" spans="1:4" s="9" customFormat="1" ht="12.75">
      <c r="A25" s="19" t="s">
        <v>460</v>
      </c>
      <c r="B25" s="100" t="s">
        <v>1625</v>
      </c>
      <c r="C25" s="101" t="s">
        <v>61</v>
      </c>
      <c r="D25" s="102">
        <v>1</v>
      </c>
    </row>
    <row r="26" spans="1:4" s="9" customFormat="1" ht="12.75">
      <c r="A26" s="19" t="s">
        <v>462</v>
      </c>
      <c r="B26" s="100" t="s">
        <v>648</v>
      </c>
      <c r="C26" s="101" t="s">
        <v>61</v>
      </c>
      <c r="D26" s="102">
        <v>1</v>
      </c>
    </row>
    <row r="27" spans="1:4" s="9" customFormat="1" ht="12.75">
      <c r="A27" s="19" t="s">
        <v>464</v>
      </c>
      <c r="B27" s="100" t="s">
        <v>649</v>
      </c>
      <c r="C27" s="101" t="s">
        <v>61</v>
      </c>
      <c r="D27" s="102">
        <v>2</v>
      </c>
    </row>
    <row r="28" spans="1:4" s="9" customFormat="1" ht="12.75">
      <c r="A28" s="19" t="s">
        <v>466</v>
      </c>
      <c r="B28" s="100" t="s">
        <v>650</v>
      </c>
      <c r="C28" s="101" t="s">
        <v>61</v>
      </c>
      <c r="D28" s="102">
        <v>2</v>
      </c>
    </row>
    <row r="29" spans="1:4" s="9" customFormat="1" ht="12.75">
      <c r="A29" s="19" t="s">
        <v>468</v>
      </c>
      <c r="B29" s="100" t="s">
        <v>651</v>
      </c>
      <c r="C29" s="101" t="s">
        <v>61</v>
      </c>
      <c r="D29" s="102">
        <v>1</v>
      </c>
    </row>
    <row r="30" spans="1:4" s="9" customFormat="1" ht="12.75">
      <c r="A30" s="19" t="s">
        <v>470</v>
      </c>
      <c r="B30" s="100" t="s">
        <v>652</v>
      </c>
      <c r="C30" s="101" t="s">
        <v>61</v>
      </c>
      <c r="D30" s="102">
        <v>2</v>
      </c>
    </row>
    <row r="31" spans="1:4" s="9" customFormat="1" ht="12.75">
      <c r="A31" s="19" t="s">
        <v>472</v>
      </c>
      <c r="B31" s="100" t="s">
        <v>653</v>
      </c>
      <c r="C31" s="101" t="s">
        <v>61</v>
      </c>
      <c r="D31" s="102">
        <v>1</v>
      </c>
    </row>
    <row r="32" spans="1:4" s="9" customFormat="1" ht="12.75">
      <c r="A32" s="19" t="s">
        <v>474</v>
      </c>
      <c r="B32" s="100" t="s">
        <v>654</v>
      </c>
      <c r="C32" s="101" t="s">
        <v>61</v>
      </c>
      <c r="D32" s="102">
        <v>4</v>
      </c>
    </row>
    <row r="33" spans="1:4" s="9" customFormat="1" ht="12.75">
      <c r="A33" s="19" t="s">
        <v>476</v>
      </c>
      <c r="B33" s="100" t="s">
        <v>655</v>
      </c>
      <c r="C33" s="101" t="s">
        <v>61</v>
      </c>
      <c r="D33" s="102">
        <v>161</v>
      </c>
    </row>
    <row r="34" spans="1:4" s="9" customFormat="1" ht="12.75">
      <c r="A34" s="19" t="s">
        <v>478</v>
      </c>
      <c r="B34" s="100" t="s">
        <v>1626</v>
      </c>
      <c r="C34" s="101" t="s">
        <v>61</v>
      </c>
      <c r="D34" s="102">
        <v>32</v>
      </c>
    </row>
    <row r="35" spans="1:4" s="9" customFormat="1" ht="12.75">
      <c r="A35" s="19" t="s">
        <v>480</v>
      </c>
      <c r="B35" s="100" t="s">
        <v>1627</v>
      </c>
      <c r="C35" s="101" t="s">
        <v>175</v>
      </c>
      <c r="D35" s="102">
        <v>2</v>
      </c>
    </row>
    <row r="36" spans="1:4" s="9" customFormat="1" ht="12.75">
      <c r="A36" s="19" t="s">
        <v>482</v>
      </c>
      <c r="B36" s="100" t="s">
        <v>656</v>
      </c>
      <c r="C36" s="101" t="s">
        <v>12</v>
      </c>
      <c r="D36" s="102">
        <v>5120</v>
      </c>
    </row>
    <row r="37" spans="1:4" s="9" customFormat="1" ht="12.75">
      <c r="A37" s="19" t="s">
        <v>484</v>
      </c>
      <c r="B37" s="100" t="s">
        <v>657</v>
      </c>
      <c r="C37" s="101" t="s">
        <v>12</v>
      </c>
      <c r="D37" s="102">
        <v>20</v>
      </c>
    </row>
    <row r="38" spans="1:4" s="9" customFormat="1" ht="12.75">
      <c r="A38" s="19" t="s">
        <v>486</v>
      </c>
      <c r="B38" s="100" t="s">
        <v>658</v>
      </c>
      <c r="C38" s="101" t="s">
        <v>12</v>
      </c>
      <c r="D38" s="102">
        <v>50</v>
      </c>
    </row>
    <row r="39" spans="1:4" s="9" customFormat="1" ht="25.5">
      <c r="A39" s="19" t="s">
        <v>488</v>
      </c>
      <c r="B39" s="70" t="s">
        <v>1342</v>
      </c>
      <c r="C39" s="101" t="s">
        <v>61</v>
      </c>
      <c r="D39" s="102">
        <v>4</v>
      </c>
    </row>
    <row r="40" spans="1:4" s="9" customFormat="1" ht="12.75">
      <c r="A40" s="19" t="s">
        <v>489</v>
      </c>
      <c r="B40" s="100" t="s">
        <v>437</v>
      </c>
      <c r="C40" s="101" t="s">
        <v>12</v>
      </c>
      <c r="D40" s="102">
        <v>1100</v>
      </c>
    </row>
    <row r="41" spans="1:4" s="9" customFormat="1" ht="12.75">
      <c r="A41" s="19" t="s">
        <v>490</v>
      </c>
      <c r="B41" s="100" t="s">
        <v>440</v>
      </c>
      <c r="C41" s="101" t="s">
        <v>175</v>
      </c>
      <c r="D41" s="102">
        <v>1</v>
      </c>
    </row>
    <row r="42" spans="1:4" s="9" customFormat="1" ht="12.75">
      <c r="A42" s="19" t="s">
        <v>491</v>
      </c>
      <c r="B42" s="100" t="s">
        <v>659</v>
      </c>
      <c r="C42" s="101" t="s">
        <v>175</v>
      </c>
      <c r="D42" s="102">
        <v>1</v>
      </c>
    </row>
    <row r="43" spans="1:4" s="9" customFormat="1" ht="12.75">
      <c r="A43" s="19" t="s">
        <v>493</v>
      </c>
      <c r="B43" s="100" t="s">
        <v>445</v>
      </c>
      <c r="C43" s="101" t="s">
        <v>175</v>
      </c>
      <c r="D43" s="102">
        <v>1</v>
      </c>
    </row>
    <row r="44" spans="1:4" s="9" customFormat="1" ht="12.75">
      <c r="A44" s="19" t="s">
        <v>495</v>
      </c>
      <c r="B44" s="100" t="s">
        <v>446</v>
      </c>
      <c r="C44" s="101" t="s">
        <v>175</v>
      </c>
      <c r="D44" s="105">
        <v>1</v>
      </c>
    </row>
    <row r="45" spans="1:4" s="9" customFormat="1" ht="12.75">
      <c r="A45" s="19" t="s">
        <v>497</v>
      </c>
      <c r="B45" s="100" t="s">
        <v>634</v>
      </c>
      <c r="C45" s="101" t="s">
        <v>175</v>
      </c>
      <c r="D45" s="102">
        <v>1</v>
      </c>
    </row>
    <row r="46" spans="1:4" s="9" customFormat="1" ht="12.75">
      <c r="A46" s="19"/>
      <c r="B46" s="106" t="s">
        <v>660</v>
      </c>
      <c r="C46" s="101"/>
      <c r="D46" s="102"/>
    </row>
    <row r="47" spans="1:4" s="9" customFormat="1" ht="12.75">
      <c r="A47" s="19" t="s">
        <v>499</v>
      </c>
      <c r="B47" s="100" t="s">
        <v>655</v>
      </c>
      <c r="C47" s="101" t="s">
        <v>61</v>
      </c>
      <c r="D47" s="102">
        <v>16</v>
      </c>
    </row>
    <row r="48" spans="1:4" s="9" customFormat="1" ht="12.75">
      <c r="A48" s="19" t="s">
        <v>0</v>
      </c>
      <c r="B48" s="20" t="s">
        <v>1</v>
      </c>
      <c r="C48" s="13"/>
      <c r="D48" s="28"/>
    </row>
    <row r="49" spans="1:4" s="9" customFormat="1" ht="153">
      <c r="A49" s="19"/>
      <c r="B49" s="8" t="s">
        <v>1469</v>
      </c>
      <c r="C49" s="13" t="s">
        <v>2</v>
      </c>
      <c r="D49" s="28">
        <v>1</v>
      </c>
    </row>
    <row r="50" spans="1:4" ht="15.75">
      <c r="A50" s="4"/>
      <c r="B50" s="555" t="s">
        <v>13</v>
      </c>
      <c r="C50" s="556"/>
      <c r="D50" s="5"/>
    </row>
    <row r="51" spans="2:4" ht="15.75">
      <c r="B51" s="2"/>
      <c r="C51" s="2"/>
      <c r="D51" s="2"/>
    </row>
    <row r="52" spans="1:4" ht="21.75" customHeight="1">
      <c r="A52" s="287" t="s">
        <v>14</v>
      </c>
      <c r="B52" s="288"/>
      <c r="C52" s="286"/>
      <c r="D52" s="286"/>
    </row>
    <row r="53" spans="1:4" ht="15.75">
      <c r="A53" s="289"/>
      <c r="B53" s="290" t="s">
        <v>4</v>
      </c>
      <c r="C53" s="286"/>
      <c r="D53" s="286"/>
    </row>
    <row r="54" spans="1:4" ht="15.75">
      <c r="A54" s="289"/>
      <c r="B54" s="291"/>
      <c r="C54" s="286"/>
      <c r="D54" s="286"/>
    </row>
    <row r="55" spans="1:4" ht="15.75">
      <c r="A55" s="287" t="s">
        <v>6</v>
      </c>
      <c r="B55" s="288"/>
      <c r="C55" s="286"/>
      <c r="D55" s="286"/>
    </row>
    <row r="56" spans="1:4" ht="15.75">
      <c r="A56" s="289"/>
      <c r="B56" s="290" t="s">
        <v>4</v>
      </c>
      <c r="C56" s="286"/>
      <c r="D56" s="286"/>
    </row>
    <row r="57" spans="1:4" ht="15.75">
      <c r="A57" s="289" t="s">
        <v>5</v>
      </c>
      <c r="B57" s="351"/>
      <c r="C57" s="286"/>
      <c r="D57" s="286"/>
    </row>
  </sheetData>
  <sheetProtection/>
  <mergeCells count="10">
    <mergeCell ref="B50:C50"/>
    <mergeCell ref="C10:D10"/>
    <mergeCell ref="A1:D1"/>
    <mergeCell ref="A2:D2"/>
    <mergeCell ref="A3:D3"/>
    <mergeCell ref="A5:D5"/>
    <mergeCell ref="A6:D6"/>
    <mergeCell ref="A7:D7"/>
    <mergeCell ref="A9:D9"/>
    <mergeCell ref="A10:B10"/>
  </mergeCells>
  <conditionalFormatting sqref="C15:C47">
    <cfRule type="cellIs" priority="1" dxfId="20" operator="equal" stopIfTrue="1">
      <formula>0</formula>
    </cfRule>
    <cfRule type="expression" priority="2" dxfId="20"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FF0000"/>
  </sheetPr>
  <dimension ref="A1:D207"/>
  <sheetViews>
    <sheetView view="pageBreakPreview" zoomScale="115" zoomScaleSheetLayoutView="115" zoomScalePageLayoutView="0" workbookViewId="0" topLeftCell="A130">
      <selection activeCell="B100" sqref="B100"/>
    </sheetView>
  </sheetViews>
  <sheetFormatPr defaultColWidth="11.421875" defaultRowHeight="15"/>
  <cols>
    <col min="1" max="1" width="10.28125" style="3" customWidth="1"/>
    <col min="2" max="2" width="52.140625" style="3" customWidth="1"/>
    <col min="3" max="3" width="11.140625" style="3" customWidth="1"/>
    <col min="4" max="4" width="12.7109375" style="25" customWidth="1"/>
    <col min="5" max="16384" width="11.421875" style="518" customWidth="1"/>
  </cols>
  <sheetData>
    <row r="1" spans="1:4" ht="15.75">
      <c r="A1" s="544" t="s">
        <v>1535</v>
      </c>
      <c r="B1" s="544"/>
      <c r="C1" s="544"/>
      <c r="D1" s="544"/>
    </row>
    <row r="2" spans="1:4" ht="18" customHeight="1">
      <c r="A2" s="545" t="s">
        <v>941</v>
      </c>
      <c r="B2" s="545"/>
      <c r="C2" s="545"/>
      <c r="D2" s="545"/>
    </row>
    <row r="3" spans="1:4" ht="15.75" customHeight="1">
      <c r="A3" s="546" t="s">
        <v>1452</v>
      </c>
      <c r="B3" s="546"/>
      <c r="C3" s="546"/>
      <c r="D3" s="546"/>
    </row>
    <row r="4" spans="1:4" ht="12.75">
      <c r="A4" s="519"/>
      <c r="B4" s="519"/>
      <c r="C4" s="519"/>
      <c r="D4" s="519"/>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2.75">
      <c r="A9" s="558"/>
      <c r="B9" s="558"/>
      <c r="C9" s="558"/>
      <c r="D9" s="558"/>
    </row>
    <row r="10" spans="1:4" ht="12.75">
      <c r="A10" s="550" t="s">
        <v>1538</v>
      </c>
      <c r="B10" s="550"/>
      <c r="C10" s="561"/>
      <c r="D10" s="561"/>
    </row>
    <row r="11" spans="1:4" ht="12.75">
      <c r="A11" s="520"/>
      <c r="B11" s="520"/>
      <c r="C11" s="520"/>
      <c r="D11" s="520"/>
    </row>
    <row r="12" spans="1:4" ht="50.25" customHeight="1">
      <c r="A12" s="309" t="s">
        <v>886</v>
      </c>
      <c r="B12" s="299" t="s">
        <v>1455</v>
      </c>
      <c r="C12" s="309" t="s">
        <v>1464</v>
      </c>
      <c r="D12" s="299" t="s">
        <v>1465</v>
      </c>
    </row>
    <row r="13" spans="1:4" ht="12.75">
      <c r="A13" s="299">
        <v>1</v>
      </c>
      <c r="B13" s="299">
        <v>2</v>
      </c>
      <c r="C13" s="299">
        <v>3</v>
      </c>
      <c r="D13" s="299">
        <v>4</v>
      </c>
    </row>
    <row r="14" spans="1:4" ht="12.75">
      <c r="A14" s="18"/>
      <c r="B14" s="18" t="s">
        <v>942</v>
      </c>
      <c r="C14" s="18"/>
      <c r="D14" s="18"/>
    </row>
    <row r="15" spans="1:4" ht="12.75">
      <c r="A15" s="19" t="s">
        <v>27</v>
      </c>
      <c r="B15" s="126" t="s">
        <v>943</v>
      </c>
      <c r="C15" s="127" t="s">
        <v>2</v>
      </c>
      <c r="D15" s="128">
        <v>1</v>
      </c>
    </row>
    <row r="16" spans="1:4" ht="12.75">
      <c r="A16" s="19" t="s">
        <v>34</v>
      </c>
      <c r="B16" s="126" t="s">
        <v>944</v>
      </c>
      <c r="C16" s="127" t="s">
        <v>2</v>
      </c>
      <c r="D16" s="128">
        <v>1</v>
      </c>
    </row>
    <row r="17" spans="1:4" ht="12.75">
      <c r="A17" s="19" t="s">
        <v>28</v>
      </c>
      <c r="B17" s="126" t="s">
        <v>945</v>
      </c>
      <c r="C17" s="127" t="s">
        <v>2</v>
      </c>
      <c r="D17" s="128">
        <v>1</v>
      </c>
    </row>
    <row r="18" spans="1:4" ht="12.75">
      <c r="A18" s="19" t="s">
        <v>16</v>
      </c>
      <c r="B18" s="126" t="s">
        <v>946</v>
      </c>
      <c r="C18" s="127" t="s">
        <v>2</v>
      </c>
      <c r="D18" s="128">
        <v>1</v>
      </c>
    </row>
    <row r="19" spans="1:4" ht="12.75">
      <c r="A19" s="19" t="s">
        <v>48</v>
      </c>
      <c r="B19" s="126" t="s">
        <v>947</v>
      </c>
      <c r="C19" s="127" t="s">
        <v>2</v>
      </c>
      <c r="D19" s="128">
        <v>1</v>
      </c>
    </row>
    <row r="20" spans="1:4" ht="12.75">
      <c r="A20" s="19" t="s">
        <v>17</v>
      </c>
      <c r="B20" s="126" t="s">
        <v>948</v>
      </c>
      <c r="C20" s="129" t="s">
        <v>2</v>
      </c>
      <c r="D20" s="130">
        <v>1</v>
      </c>
    </row>
    <row r="21" spans="1:4" ht="12.75">
      <c r="A21" s="19"/>
      <c r="B21" s="131" t="s">
        <v>949</v>
      </c>
      <c r="C21" s="101"/>
      <c r="D21" s="104"/>
    </row>
    <row r="22" spans="1:4" ht="12.75">
      <c r="A22" s="132" t="s">
        <v>27</v>
      </c>
      <c r="B22" s="133" t="s">
        <v>950</v>
      </c>
      <c r="C22" s="101"/>
      <c r="D22" s="102"/>
    </row>
    <row r="23" spans="1:4" ht="12.75">
      <c r="A23" s="149" t="s">
        <v>951</v>
      </c>
      <c r="B23" s="126" t="s">
        <v>952</v>
      </c>
      <c r="C23" s="134" t="s">
        <v>3</v>
      </c>
      <c r="D23" s="128">
        <v>1</v>
      </c>
    </row>
    <row r="24" spans="1:4" ht="12.75">
      <c r="A24" s="149" t="s">
        <v>953</v>
      </c>
      <c r="B24" s="126" t="s">
        <v>954</v>
      </c>
      <c r="C24" s="134" t="s">
        <v>3</v>
      </c>
      <c r="D24" s="128">
        <v>1</v>
      </c>
    </row>
    <row r="25" spans="1:4" ht="12.75">
      <c r="A25" s="149" t="s">
        <v>955</v>
      </c>
      <c r="B25" s="126" t="s">
        <v>956</v>
      </c>
      <c r="C25" s="134" t="s">
        <v>3</v>
      </c>
      <c r="D25" s="128">
        <v>1</v>
      </c>
    </row>
    <row r="26" spans="1:4" ht="25.5">
      <c r="A26" s="149" t="s">
        <v>957</v>
      </c>
      <c r="B26" s="135" t="s">
        <v>958</v>
      </c>
      <c r="C26" s="134" t="s">
        <v>3</v>
      </c>
      <c r="D26" s="128">
        <v>1</v>
      </c>
    </row>
    <row r="27" spans="1:4" ht="12.75">
      <c r="A27" s="149" t="s">
        <v>959</v>
      </c>
      <c r="B27" s="135" t="s">
        <v>960</v>
      </c>
      <c r="C27" s="134" t="s">
        <v>3</v>
      </c>
      <c r="D27" s="136">
        <v>1</v>
      </c>
    </row>
    <row r="28" spans="1:4" ht="12.75">
      <c r="A28" s="149" t="s">
        <v>961</v>
      </c>
      <c r="B28" s="126" t="s">
        <v>962</v>
      </c>
      <c r="C28" s="134" t="s">
        <v>3</v>
      </c>
      <c r="D28" s="137">
        <v>1</v>
      </c>
    </row>
    <row r="29" spans="1:4" ht="12.75">
      <c r="A29" s="149" t="s">
        <v>963</v>
      </c>
      <c r="B29" s="126" t="s">
        <v>964</v>
      </c>
      <c r="C29" s="134" t="s">
        <v>3</v>
      </c>
      <c r="D29" s="137">
        <v>1</v>
      </c>
    </row>
    <row r="30" spans="1:4" ht="12.75">
      <c r="A30" s="149" t="s">
        <v>965</v>
      </c>
      <c r="B30" s="126" t="s">
        <v>966</v>
      </c>
      <c r="C30" s="134" t="s">
        <v>3</v>
      </c>
      <c r="D30" s="137">
        <v>1</v>
      </c>
    </row>
    <row r="31" spans="1:4" ht="12.75">
      <c r="A31" s="149" t="s">
        <v>967</v>
      </c>
      <c r="B31" s="126" t="s">
        <v>968</v>
      </c>
      <c r="C31" s="134" t="s">
        <v>3</v>
      </c>
      <c r="D31" s="138">
        <v>1</v>
      </c>
    </row>
    <row r="32" spans="1:4" ht="12.75">
      <c r="A32" s="149" t="s">
        <v>969</v>
      </c>
      <c r="B32" s="126" t="s">
        <v>970</v>
      </c>
      <c r="C32" s="134" t="s">
        <v>3</v>
      </c>
      <c r="D32" s="138">
        <v>1</v>
      </c>
    </row>
    <row r="33" spans="1:4" ht="12.75">
      <c r="A33" s="149" t="s">
        <v>971</v>
      </c>
      <c r="B33" s="126" t="s">
        <v>972</v>
      </c>
      <c r="C33" s="134" t="s">
        <v>3</v>
      </c>
      <c r="D33" s="138">
        <v>1</v>
      </c>
    </row>
    <row r="34" spans="1:4" ht="12.75">
      <c r="A34" s="149" t="s">
        <v>973</v>
      </c>
      <c r="B34" s="126" t="s">
        <v>974</v>
      </c>
      <c r="C34" s="134" t="s">
        <v>3</v>
      </c>
      <c r="D34" s="138">
        <v>1</v>
      </c>
    </row>
    <row r="35" spans="1:4" ht="12.75">
      <c r="A35" s="149" t="s">
        <v>975</v>
      </c>
      <c r="B35" s="126" t="s">
        <v>976</v>
      </c>
      <c r="C35" s="134" t="s">
        <v>3</v>
      </c>
      <c r="D35" s="138">
        <v>1</v>
      </c>
    </row>
    <row r="36" spans="1:4" ht="12.75">
      <c r="A36" s="149" t="s">
        <v>977</v>
      </c>
      <c r="B36" s="126" t="s">
        <v>978</v>
      </c>
      <c r="C36" s="134" t="s">
        <v>3</v>
      </c>
      <c r="D36" s="138">
        <v>1</v>
      </c>
    </row>
    <row r="37" spans="1:4" ht="12.75">
      <c r="A37" s="149" t="s">
        <v>979</v>
      </c>
      <c r="B37" s="126" t="s">
        <v>980</v>
      </c>
      <c r="C37" s="134" t="s">
        <v>3</v>
      </c>
      <c r="D37" s="138">
        <v>1</v>
      </c>
    </row>
    <row r="38" spans="1:4" ht="12.75">
      <c r="A38" s="149" t="s">
        <v>981</v>
      </c>
      <c r="B38" s="126" t="s">
        <v>982</v>
      </c>
      <c r="C38" s="134" t="s">
        <v>3</v>
      </c>
      <c r="D38" s="138">
        <v>1</v>
      </c>
    </row>
    <row r="39" spans="1:4" ht="12.75">
      <c r="A39" s="149" t="s">
        <v>983</v>
      </c>
      <c r="B39" s="126" t="s">
        <v>984</v>
      </c>
      <c r="C39" s="134" t="s">
        <v>3</v>
      </c>
      <c r="D39" s="138">
        <v>1</v>
      </c>
    </row>
    <row r="40" spans="1:4" ht="12.75">
      <c r="A40" s="149" t="s">
        <v>985</v>
      </c>
      <c r="B40" s="126" t="s">
        <v>986</v>
      </c>
      <c r="C40" s="134" t="s">
        <v>3</v>
      </c>
      <c r="D40" s="138">
        <v>1</v>
      </c>
    </row>
    <row r="41" spans="1:4" ht="12.75">
      <c r="A41" s="149" t="s">
        <v>987</v>
      </c>
      <c r="B41" s="126" t="s">
        <v>988</v>
      </c>
      <c r="C41" s="134" t="s">
        <v>3</v>
      </c>
      <c r="D41" s="138">
        <v>1</v>
      </c>
    </row>
    <row r="42" spans="1:4" ht="12.75">
      <c r="A42" s="149" t="s">
        <v>989</v>
      </c>
      <c r="B42" s="126" t="s">
        <v>990</v>
      </c>
      <c r="C42" s="134" t="s">
        <v>3</v>
      </c>
      <c r="D42" s="138">
        <v>1</v>
      </c>
    </row>
    <row r="43" spans="1:4" ht="12.75">
      <c r="A43" s="149" t="s">
        <v>991</v>
      </c>
      <c r="B43" s="126" t="s">
        <v>992</v>
      </c>
      <c r="C43" s="134" t="s">
        <v>3</v>
      </c>
      <c r="D43" s="138">
        <v>1</v>
      </c>
    </row>
    <row r="44" spans="1:4" ht="12.75">
      <c r="A44" s="149" t="s">
        <v>993</v>
      </c>
      <c r="B44" s="126" t="s">
        <v>994</v>
      </c>
      <c r="C44" s="134" t="s">
        <v>3</v>
      </c>
      <c r="D44" s="138">
        <v>1</v>
      </c>
    </row>
    <row r="45" spans="1:4" ht="12.75">
      <c r="A45" s="149" t="s">
        <v>995</v>
      </c>
      <c r="B45" s="126" t="s">
        <v>996</v>
      </c>
      <c r="C45" s="134" t="s">
        <v>3</v>
      </c>
      <c r="D45" s="138">
        <v>1</v>
      </c>
    </row>
    <row r="46" spans="1:4" ht="12.75">
      <c r="A46" s="149" t="s">
        <v>997</v>
      </c>
      <c r="B46" s="126" t="s">
        <v>998</v>
      </c>
      <c r="C46" s="134" t="s">
        <v>3</v>
      </c>
      <c r="D46" s="138">
        <v>1</v>
      </c>
    </row>
    <row r="47" spans="1:4" ht="12.75">
      <c r="A47" s="149" t="s">
        <v>999</v>
      </c>
      <c r="B47" s="126" t="s">
        <v>1000</v>
      </c>
      <c r="C47" s="134" t="s">
        <v>3</v>
      </c>
      <c r="D47" s="138">
        <v>1</v>
      </c>
    </row>
    <row r="48" spans="1:4" ht="12.75">
      <c r="A48" s="149" t="s">
        <v>1001</v>
      </c>
      <c r="B48" s="126" t="s">
        <v>1002</v>
      </c>
      <c r="C48" s="134" t="s">
        <v>3</v>
      </c>
      <c r="D48" s="138">
        <v>1</v>
      </c>
    </row>
    <row r="49" spans="1:4" ht="12.75">
      <c r="A49" s="149" t="s">
        <v>1003</v>
      </c>
      <c r="B49" s="126" t="s">
        <v>1004</v>
      </c>
      <c r="C49" s="134" t="s">
        <v>3</v>
      </c>
      <c r="D49" s="138">
        <v>1</v>
      </c>
    </row>
    <row r="50" spans="1:4" ht="12.75">
      <c r="A50" s="149" t="s">
        <v>1005</v>
      </c>
      <c r="B50" s="126" t="s">
        <v>1006</v>
      </c>
      <c r="C50" s="134" t="s">
        <v>3</v>
      </c>
      <c r="D50" s="138">
        <v>1</v>
      </c>
    </row>
    <row r="51" spans="1:4" ht="12.75">
      <c r="A51" s="149" t="s">
        <v>1007</v>
      </c>
      <c r="B51" s="126" t="s">
        <v>1008</v>
      </c>
      <c r="C51" s="134" t="s">
        <v>3</v>
      </c>
      <c r="D51" s="138">
        <v>1</v>
      </c>
    </row>
    <row r="52" spans="1:4" ht="12.75">
      <c r="A52" s="149" t="s">
        <v>1009</v>
      </c>
      <c r="B52" s="126" t="s">
        <v>1010</v>
      </c>
      <c r="C52" s="134" t="s">
        <v>3</v>
      </c>
      <c r="D52" s="138">
        <v>1</v>
      </c>
    </row>
    <row r="53" spans="1:4" ht="12.75">
      <c r="A53" s="149" t="s">
        <v>1011</v>
      </c>
      <c r="B53" s="126" t="s">
        <v>1012</v>
      </c>
      <c r="C53" s="134" t="s">
        <v>3</v>
      </c>
      <c r="D53" s="138">
        <v>1</v>
      </c>
    </row>
    <row r="54" spans="1:4" ht="12.75">
      <c r="A54" s="149" t="s">
        <v>1013</v>
      </c>
      <c r="B54" s="126" t="s">
        <v>1014</v>
      </c>
      <c r="C54" s="134" t="s">
        <v>3</v>
      </c>
      <c r="D54" s="138">
        <v>1</v>
      </c>
    </row>
    <row r="55" spans="1:4" ht="12.75">
      <c r="A55" s="149" t="s">
        <v>1015</v>
      </c>
      <c r="B55" s="126" t="s">
        <v>1016</v>
      </c>
      <c r="C55" s="134" t="s">
        <v>3</v>
      </c>
      <c r="D55" s="138">
        <v>1</v>
      </c>
    </row>
    <row r="56" spans="1:4" ht="12.75">
      <c r="A56" s="149" t="s">
        <v>1017</v>
      </c>
      <c r="B56" s="126" t="s">
        <v>1018</v>
      </c>
      <c r="C56" s="134" t="s">
        <v>3</v>
      </c>
      <c r="D56" s="138">
        <v>1</v>
      </c>
    </row>
    <row r="57" spans="1:4" ht="12.75">
      <c r="A57" s="149" t="s">
        <v>1019</v>
      </c>
      <c r="B57" s="126" t="s">
        <v>1020</v>
      </c>
      <c r="C57" s="134" t="s">
        <v>3</v>
      </c>
      <c r="D57" s="138">
        <v>1</v>
      </c>
    </row>
    <row r="58" spans="1:4" ht="12.75">
      <c r="A58" s="149" t="s">
        <v>1021</v>
      </c>
      <c r="B58" s="126" t="s">
        <v>1022</v>
      </c>
      <c r="C58" s="134" t="s">
        <v>3</v>
      </c>
      <c r="D58" s="138">
        <v>1</v>
      </c>
    </row>
    <row r="59" spans="1:4" ht="12.75">
      <c r="A59" s="149" t="s">
        <v>1023</v>
      </c>
      <c r="B59" s="126" t="s">
        <v>1024</v>
      </c>
      <c r="C59" s="134" t="s">
        <v>3</v>
      </c>
      <c r="D59" s="138">
        <v>1</v>
      </c>
    </row>
    <row r="60" spans="1:4" ht="12.75">
      <c r="A60" s="149" t="s">
        <v>1025</v>
      </c>
      <c r="B60" s="126" t="s">
        <v>1026</v>
      </c>
      <c r="C60" s="134" t="s">
        <v>3</v>
      </c>
      <c r="D60" s="138">
        <v>1</v>
      </c>
    </row>
    <row r="61" spans="1:4" ht="12.75">
      <c r="A61" s="149" t="s">
        <v>1027</v>
      </c>
      <c r="B61" s="126" t="s">
        <v>1028</v>
      </c>
      <c r="C61" s="134" t="s">
        <v>3</v>
      </c>
      <c r="D61" s="138">
        <v>1</v>
      </c>
    </row>
    <row r="62" spans="1:4" ht="12.75">
      <c r="A62" s="139" t="s">
        <v>1029</v>
      </c>
      <c r="B62" s="140" t="s">
        <v>1030</v>
      </c>
      <c r="C62" s="134"/>
      <c r="D62" s="102"/>
    </row>
    <row r="63" spans="1:4" ht="25.5">
      <c r="A63" s="141" t="s">
        <v>1031</v>
      </c>
      <c r="B63" s="142" t="s">
        <v>1628</v>
      </c>
      <c r="C63" s="134" t="s">
        <v>3</v>
      </c>
      <c r="D63" s="143">
        <v>68</v>
      </c>
    </row>
    <row r="64" spans="1:4" ht="25.5">
      <c r="A64" s="141" t="s">
        <v>1032</v>
      </c>
      <c r="B64" s="144" t="s">
        <v>1629</v>
      </c>
      <c r="C64" s="134" t="s">
        <v>3</v>
      </c>
      <c r="D64" s="128">
        <v>2</v>
      </c>
    </row>
    <row r="65" spans="1:4" ht="25.5">
      <c r="A65" s="141" t="s">
        <v>1033</v>
      </c>
      <c r="B65" s="144" t="s">
        <v>1630</v>
      </c>
      <c r="C65" s="134" t="s">
        <v>3</v>
      </c>
      <c r="D65" s="128">
        <v>4</v>
      </c>
    </row>
    <row r="66" spans="1:4" ht="25.5">
      <c r="A66" s="141" t="s">
        <v>1034</v>
      </c>
      <c r="B66" s="144" t="s">
        <v>1631</v>
      </c>
      <c r="C66" s="134" t="s">
        <v>3</v>
      </c>
      <c r="D66" s="128">
        <v>43</v>
      </c>
    </row>
    <row r="67" spans="1:4" ht="25.5">
      <c r="A67" s="141" t="s">
        <v>1035</v>
      </c>
      <c r="B67" s="144" t="s">
        <v>1632</v>
      </c>
      <c r="C67" s="134" t="s">
        <v>3</v>
      </c>
      <c r="D67" s="128">
        <v>2</v>
      </c>
    </row>
    <row r="68" spans="1:4" ht="25.5">
      <c r="A68" s="141" t="s">
        <v>1036</v>
      </c>
      <c r="B68" s="144" t="s">
        <v>1633</v>
      </c>
      <c r="C68" s="134" t="s">
        <v>3</v>
      </c>
      <c r="D68" s="128">
        <v>18</v>
      </c>
    </row>
    <row r="69" spans="1:4" ht="25.5">
      <c r="A69" s="141" t="s">
        <v>1037</v>
      </c>
      <c r="B69" s="144" t="s">
        <v>1634</v>
      </c>
      <c r="C69" s="134" t="s">
        <v>3</v>
      </c>
      <c r="D69" s="128">
        <v>2</v>
      </c>
    </row>
    <row r="70" spans="1:4" ht="25.5">
      <c r="A70" s="141" t="s">
        <v>1038</v>
      </c>
      <c r="B70" s="144" t="s">
        <v>1635</v>
      </c>
      <c r="C70" s="134" t="s">
        <v>3</v>
      </c>
      <c r="D70" s="128">
        <v>10</v>
      </c>
    </row>
    <row r="71" spans="1:4" ht="25.5">
      <c r="A71" s="141" t="s">
        <v>1039</v>
      </c>
      <c r="B71" s="144" t="s">
        <v>1636</v>
      </c>
      <c r="C71" s="134" t="s">
        <v>3</v>
      </c>
      <c r="D71" s="128">
        <v>9</v>
      </c>
    </row>
    <row r="72" spans="1:4" ht="25.5">
      <c r="A72" s="141" t="s">
        <v>1040</v>
      </c>
      <c r="B72" s="144" t="s">
        <v>1637</v>
      </c>
      <c r="C72" s="134" t="s">
        <v>3</v>
      </c>
      <c r="D72" s="128">
        <v>33</v>
      </c>
    </row>
    <row r="73" spans="1:4" ht="38.25">
      <c r="A73" s="141" t="s">
        <v>1041</v>
      </c>
      <c r="B73" s="144" t="s">
        <v>1638</v>
      </c>
      <c r="C73" s="134" t="s">
        <v>3</v>
      </c>
      <c r="D73" s="128">
        <v>6</v>
      </c>
    </row>
    <row r="74" spans="1:4" ht="25.5">
      <c r="A74" s="141" t="s">
        <v>1042</v>
      </c>
      <c r="B74" s="144" t="s">
        <v>1639</v>
      </c>
      <c r="C74" s="134" t="s">
        <v>3</v>
      </c>
      <c r="D74" s="128">
        <v>49</v>
      </c>
    </row>
    <row r="75" spans="1:4" ht="38.25">
      <c r="A75" s="141" t="s">
        <v>1043</v>
      </c>
      <c r="B75" s="144" t="s">
        <v>1640</v>
      </c>
      <c r="C75" s="134" t="s">
        <v>3</v>
      </c>
      <c r="D75" s="128">
        <v>2</v>
      </c>
    </row>
    <row r="76" spans="1:4" ht="25.5">
      <c r="A76" s="141" t="s">
        <v>1044</v>
      </c>
      <c r="B76" s="144" t="s">
        <v>1641</v>
      </c>
      <c r="C76" s="134" t="s">
        <v>3</v>
      </c>
      <c r="D76" s="128">
        <v>13</v>
      </c>
    </row>
    <row r="77" spans="1:4" ht="38.25">
      <c r="A77" s="141" t="s">
        <v>1045</v>
      </c>
      <c r="B77" s="144" t="s">
        <v>1642</v>
      </c>
      <c r="C77" s="134" t="s">
        <v>3</v>
      </c>
      <c r="D77" s="128">
        <v>1</v>
      </c>
    </row>
    <row r="78" spans="1:4" ht="25.5">
      <c r="A78" s="141" t="s">
        <v>1046</v>
      </c>
      <c r="B78" s="144" t="s">
        <v>1643</v>
      </c>
      <c r="C78" s="134" t="s">
        <v>3</v>
      </c>
      <c r="D78" s="128">
        <v>10</v>
      </c>
    </row>
    <row r="79" spans="1:4" ht="38.25">
      <c r="A79" s="141" t="s">
        <v>1047</v>
      </c>
      <c r="B79" s="144" t="s">
        <v>1644</v>
      </c>
      <c r="C79" s="134" t="s">
        <v>3</v>
      </c>
      <c r="D79" s="128">
        <v>4</v>
      </c>
    </row>
    <row r="80" spans="1:4" ht="25.5">
      <c r="A80" s="141" t="s">
        <v>1048</v>
      </c>
      <c r="B80" s="144" t="s">
        <v>1645</v>
      </c>
      <c r="C80" s="134" t="s">
        <v>3</v>
      </c>
      <c r="D80" s="128">
        <v>149</v>
      </c>
    </row>
    <row r="81" spans="1:4" ht="38.25">
      <c r="A81" s="141" t="s">
        <v>1049</v>
      </c>
      <c r="B81" s="144" t="s">
        <v>1646</v>
      </c>
      <c r="C81" s="134" t="s">
        <v>3</v>
      </c>
      <c r="D81" s="128">
        <v>56</v>
      </c>
    </row>
    <row r="82" spans="1:4" s="9" customFormat="1" ht="25.5">
      <c r="A82" s="141" t="s">
        <v>1050</v>
      </c>
      <c r="B82" s="144" t="s">
        <v>1647</v>
      </c>
      <c r="C82" s="134" t="s">
        <v>3</v>
      </c>
      <c r="D82" s="128">
        <v>5</v>
      </c>
    </row>
    <row r="83" spans="1:4" s="9" customFormat="1" ht="25.5">
      <c r="A83" s="141" t="s">
        <v>1051</v>
      </c>
      <c r="B83" s="144" t="s">
        <v>1648</v>
      </c>
      <c r="C83" s="134" t="s">
        <v>3</v>
      </c>
      <c r="D83" s="128">
        <v>5</v>
      </c>
    </row>
    <row r="84" spans="1:4" s="9" customFormat="1" ht="25.5">
      <c r="A84" s="141" t="s">
        <v>1050</v>
      </c>
      <c r="B84" s="144" t="s">
        <v>1649</v>
      </c>
      <c r="C84" s="134" t="s">
        <v>3</v>
      </c>
      <c r="D84" s="128">
        <v>12</v>
      </c>
    </row>
    <row r="85" spans="1:4" s="9" customFormat="1" ht="25.5">
      <c r="A85" s="141" t="s">
        <v>1050</v>
      </c>
      <c r="B85" s="144" t="s">
        <v>1650</v>
      </c>
      <c r="C85" s="134" t="s">
        <v>3</v>
      </c>
      <c r="D85" s="128">
        <v>3</v>
      </c>
    </row>
    <row r="86" spans="1:4" s="9" customFormat="1" ht="25.5">
      <c r="A86" s="141" t="s">
        <v>1051</v>
      </c>
      <c r="B86" s="144" t="s">
        <v>1651</v>
      </c>
      <c r="C86" s="134" t="s">
        <v>3</v>
      </c>
      <c r="D86" s="128">
        <v>12</v>
      </c>
    </row>
    <row r="87" spans="1:4" s="9" customFormat="1" ht="25.5">
      <c r="A87" s="141" t="s">
        <v>1052</v>
      </c>
      <c r="B87" s="144" t="s">
        <v>1652</v>
      </c>
      <c r="C87" s="134" t="s">
        <v>3</v>
      </c>
      <c r="D87" s="128">
        <v>30</v>
      </c>
    </row>
    <row r="88" spans="1:4" s="9" customFormat="1" ht="25.5">
      <c r="A88" s="141" t="s">
        <v>1053</v>
      </c>
      <c r="B88" s="144" t="s">
        <v>1653</v>
      </c>
      <c r="C88" s="134" t="s">
        <v>3</v>
      </c>
      <c r="D88" s="128">
        <v>12</v>
      </c>
    </row>
    <row r="89" spans="1:4" s="9" customFormat="1" ht="38.25">
      <c r="A89" s="141" t="s">
        <v>1054</v>
      </c>
      <c r="B89" s="144" t="s">
        <v>1654</v>
      </c>
      <c r="C89" s="134" t="s">
        <v>3</v>
      </c>
      <c r="D89" s="128">
        <v>6</v>
      </c>
    </row>
    <row r="90" spans="1:4" s="9" customFormat="1" ht="25.5">
      <c r="A90" s="141" t="s">
        <v>1055</v>
      </c>
      <c r="B90" s="144" t="s">
        <v>1655</v>
      </c>
      <c r="C90" s="134" t="s">
        <v>3</v>
      </c>
      <c r="D90" s="128">
        <v>28</v>
      </c>
    </row>
    <row r="91" spans="1:4" s="9" customFormat="1" ht="25.5">
      <c r="A91" s="141" t="s">
        <v>1056</v>
      </c>
      <c r="B91" s="144" t="s">
        <v>1656</v>
      </c>
      <c r="C91" s="134" t="s">
        <v>3</v>
      </c>
      <c r="D91" s="128">
        <v>475</v>
      </c>
    </row>
    <row r="92" spans="1:4" s="9" customFormat="1" ht="25.5">
      <c r="A92" s="141" t="s">
        <v>1057</v>
      </c>
      <c r="B92" s="144" t="s">
        <v>1657</v>
      </c>
      <c r="C92" s="134" t="s">
        <v>3</v>
      </c>
      <c r="D92" s="128">
        <v>85</v>
      </c>
    </row>
    <row r="93" spans="1:4" s="9" customFormat="1" ht="12.75">
      <c r="A93" s="141" t="s">
        <v>1058</v>
      </c>
      <c r="B93" s="144" t="s">
        <v>1659</v>
      </c>
      <c r="C93" s="134" t="s">
        <v>3</v>
      </c>
      <c r="D93" s="128">
        <v>11</v>
      </c>
    </row>
    <row r="94" spans="1:4" s="9" customFormat="1" ht="25.5">
      <c r="A94" s="141" t="s">
        <v>1059</v>
      </c>
      <c r="B94" s="144" t="s">
        <v>1658</v>
      </c>
      <c r="C94" s="134" t="s">
        <v>3</v>
      </c>
      <c r="D94" s="128">
        <v>4</v>
      </c>
    </row>
    <row r="95" spans="1:4" s="9" customFormat="1" ht="38.25">
      <c r="A95" s="141" t="s">
        <v>1060</v>
      </c>
      <c r="B95" s="144" t="s">
        <v>1660</v>
      </c>
      <c r="C95" s="134" t="s">
        <v>3</v>
      </c>
      <c r="D95" s="128">
        <v>12</v>
      </c>
    </row>
    <row r="96" spans="1:4" s="9" customFormat="1" ht="25.5">
      <c r="A96" s="141" t="s">
        <v>1061</v>
      </c>
      <c r="B96" s="144" t="s">
        <v>1661</v>
      </c>
      <c r="C96" s="134" t="s">
        <v>3</v>
      </c>
      <c r="D96" s="128">
        <v>15</v>
      </c>
    </row>
    <row r="97" spans="1:4" s="9" customFormat="1" ht="25.5">
      <c r="A97" s="141" t="s">
        <v>1062</v>
      </c>
      <c r="B97" s="144" t="s">
        <v>1662</v>
      </c>
      <c r="C97" s="134" t="s">
        <v>3</v>
      </c>
      <c r="D97" s="128">
        <v>12</v>
      </c>
    </row>
    <row r="98" spans="1:4" s="9" customFormat="1" ht="25.5">
      <c r="A98" s="141" t="s">
        <v>1063</v>
      </c>
      <c r="B98" s="144" t="s">
        <v>1663</v>
      </c>
      <c r="C98" s="134" t="s">
        <v>3</v>
      </c>
      <c r="D98" s="128">
        <v>13</v>
      </c>
    </row>
    <row r="99" spans="1:4" s="9" customFormat="1" ht="38.25">
      <c r="A99" s="145" t="s">
        <v>1064</v>
      </c>
      <c r="B99" s="144" t="s">
        <v>1664</v>
      </c>
      <c r="C99" s="134" t="s">
        <v>3</v>
      </c>
      <c r="D99" s="128">
        <v>36</v>
      </c>
    </row>
    <row r="100" spans="1:4" s="9" customFormat="1" ht="12.75">
      <c r="A100" s="146" t="s">
        <v>1065</v>
      </c>
      <c r="B100" s="147" t="s">
        <v>1066</v>
      </c>
      <c r="C100" s="134"/>
      <c r="D100" s="148"/>
    </row>
    <row r="101" spans="1:4" s="9" customFormat="1" ht="12.75">
      <c r="A101" s="149" t="s">
        <v>1067</v>
      </c>
      <c r="B101" s="150" t="s">
        <v>1068</v>
      </c>
      <c r="C101" s="134" t="s">
        <v>3</v>
      </c>
      <c r="D101" s="128">
        <v>4</v>
      </c>
    </row>
    <row r="102" spans="1:4" s="9" customFormat="1" ht="12.75">
      <c r="A102" s="149" t="s">
        <v>1069</v>
      </c>
      <c r="B102" s="150" t="s">
        <v>1070</v>
      </c>
      <c r="C102" s="134" t="s">
        <v>3</v>
      </c>
      <c r="D102" s="128">
        <v>14</v>
      </c>
    </row>
    <row r="103" spans="1:4" s="9" customFormat="1" ht="12.75">
      <c r="A103" s="149" t="s">
        <v>1071</v>
      </c>
      <c r="B103" s="150" t="s">
        <v>1072</v>
      </c>
      <c r="C103" s="134" t="s">
        <v>3</v>
      </c>
      <c r="D103" s="128">
        <v>4</v>
      </c>
    </row>
    <row r="104" spans="1:4" s="9" customFormat="1" ht="12.75">
      <c r="A104" s="149" t="s">
        <v>1073</v>
      </c>
      <c r="B104" s="150" t="s">
        <v>1074</v>
      </c>
      <c r="C104" s="134" t="s">
        <v>3</v>
      </c>
      <c r="D104" s="128">
        <v>2</v>
      </c>
    </row>
    <row r="105" spans="1:4" s="9" customFormat="1" ht="12.75">
      <c r="A105" s="149" t="s">
        <v>1075</v>
      </c>
      <c r="B105" s="150" t="s">
        <v>1076</v>
      </c>
      <c r="C105" s="134" t="s">
        <v>3</v>
      </c>
      <c r="D105" s="128">
        <v>53</v>
      </c>
    </row>
    <row r="106" spans="1:4" s="9" customFormat="1" ht="25.5">
      <c r="A106" s="149" t="s">
        <v>1077</v>
      </c>
      <c r="B106" s="150" t="s">
        <v>1078</v>
      </c>
      <c r="C106" s="134" t="s">
        <v>3</v>
      </c>
      <c r="D106" s="128">
        <v>4</v>
      </c>
    </row>
    <row r="107" spans="1:4" s="9" customFormat="1" ht="12.75">
      <c r="A107" s="149" t="s">
        <v>1079</v>
      </c>
      <c r="B107" s="150" t="s">
        <v>1080</v>
      </c>
      <c r="C107" s="134" t="s">
        <v>3</v>
      </c>
      <c r="D107" s="128">
        <v>206</v>
      </c>
    </row>
    <row r="108" spans="1:4" s="9" customFormat="1" ht="25.5">
      <c r="A108" s="149" t="s">
        <v>1081</v>
      </c>
      <c r="B108" s="150" t="s">
        <v>1082</v>
      </c>
      <c r="C108" s="134" t="s">
        <v>3</v>
      </c>
      <c r="D108" s="128">
        <v>21</v>
      </c>
    </row>
    <row r="109" spans="1:4" s="9" customFormat="1" ht="12.75">
      <c r="A109" s="149" t="s">
        <v>1083</v>
      </c>
      <c r="B109" s="150" t="s">
        <v>1084</v>
      </c>
      <c r="C109" s="134" t="s">
        <v>3</v>
      </c>
      <c r="D109" s="128">
        <v>1</v>
      </c>
    </row>
    <row r="110" spans="1:4" s="9" customFormat="1" ht="12.75">
      <c r="A110" s="149" t="s">
        <v>1085</v>
      </c>
      <c r="B110" s="150" t="s">
        <v>1086</v>
      </c>
      <c r="C110" s="134" t="s">
        <v>3</v>
      </c>
      <c r="D110" s="128">
        <v>9</v>
      </c>
    </row>
    <row r="111" spans="1:4" s="9" customFormat="1" ht="12.75">
      <c r="A111" s="149" t="s">
        <v>1087</v>
      </c>
      <c r="B111" s="150" t="s">
        <v>1088</v>
      </c>
      <c r="C111" s="134" t="s">
        <v>3</v>
      </c>
      <c r="D111" s="128">
        <v>4</v>
      </c>
    </row>
    <row r="112" spans="1:4" s="9" customFormat="1" ht="25.5">
      <c r="A112" s="149" t="s">
        <v>1089</v>
      </c>
      <c r="B112" s="150" t="s">
        <v>1090</v>
      </c>
      <c r="C112" s="134" t="s">
        <v>3</v>
      </c>
      <c r="D112" s="128">
        <v>2</v>
      </c>
    </row>
    <row r="113" spans="1:4" s="9" customFormat="1" ht="12.75">
      <c r="A113" s="149" t="s">
        <v>1091</v>
      </c>
      <c r="B113" s="150" t="s">
        <v>1092</v>
      </c>
      <c r="C113" s="134" t="s">
        <v>3</v>
      </c>
      <c r="D113" s="128">
        <v>1</v>
      </c>
    </row>
    <row r="114" spans="1:4" s="9" customFormat="1" ht="25.5">
      <c r="A114" s="149" t="s">
        <v>1093</v>
      </c>
      <c r="B114" s="150" t="s">
        <v>1094</v>
      </c>
      <c r="C114" s="134" t="s">
        <v>3</v>
      </c>
      <c r="D114" s="128">
        <v>36</v>
      </c>
    </row>
    <row r="115" spans="1:4" s="9" customFormat="1" ht="25.5">
      <c r="A115" s="149" t="s">
        <v>1095</v>
      </c>
      <c r="B115" s="150" t="s">
        <v>1096</v>
      </c>
      <c r="C115" s="134" t="s">
        <v>3</v>
      </c>
      <c r="D115" s="128">
        <v>51</v>
      </c>
    </row>
    <row r="116" spans="1:4" s="9" customFormat="1" ht="25.5">
      <c r="A116" s="149" t="s">
        <v>1097</v>
      </c>
      <c r="B116" s="150" t="s">
        <v>1098</v>
      </c>
      <c r="C116" s="134" t="s">
        <v>3</v>
      </c>
      <c r="D116" s="128">
        <v>44</v>
      </c>
    </row>
    <row r="117" spans="1:4" s="9" customFormat="1" ht="12.75">
      <c r="A117" s="149" t="s">
        <v>1099</v>
      </c>
      <c r="B117" s="150" t="s">
        <v>1100</v>
      </c>
      <c r="C117" s="134" t="s">
        <v>3</v>
      </c>
      <c r="D117" s="128">
        <v>26</v>
      </c>
    </row>
    <row r="118" spans="1:4" ht="12.75">
      <c r="A118" s="149" t="s">
        <v>1101</v>
      </c>
      <c r="B118" s="150" t="s">
        <v>1102</v>
      </c>
      <c r="C118" s="134" t="s">
        <v>3</v>
      </c>
      <c r="D118" s="128">
        <v>13</v>
      </c>
    </row>
    <row r="119" spans="1:4" ht="12.75">
      <c r="A119" s="149" t="s">
        <v>1103</v>
      </c>
      <c r="B119" s="150" t="s">
        <v>1104</v>
      </c>
      <c r="C119" s="134" t="s">
        <v>3</v>
      </c>
      <c r="D119" s="128">
        <v>30</v>
      </c>
    </row>
    <row r="120" spans="1:4" ht="12.75">
      <c r="A120" s="149" t="s">
        <v>1105</v>
      </c>
      <c r="B120" s="150" t="s">
        <v>1106</v>
      </c>
      <c r="C120" s="134" t="s">
        <v>3</v>
      </c>
      <c r="D120" s="128">
        <v>53</v>
      </c>
    </row>
    <row r="121" spans="1:4" ht="12.75">
      <c r="A121" s="149" t="s">
        <v>1107</v>
      </c>
      <c r="B121" s="150" t="s">
        <v>1108</v>
      </c>
      <c r="C121" s="134" t="s">
        <v>3</v>
      </c>
      <c r="D121" s="128">
        <v>3</v>
      </c>
    </row>
    <row r="122" spans="1:4" ht="12.75">
      <c r="A122" s="149" t="s">
        <v>1109</v>
      </c>
      <c r="B122" s="150" t="s">
        <v>1110</v>
      </c>
      <c r="C122" s="134" t="s">
        <v>3</v>
      </c>
      <c r="D122" s="128">
        <v>56</v>
      </c>
    </row>
    <row r="123" spans="1:4" ht="12.75">
      <c r="A123" s="149" t="s">
        <v>1111</v>
      </c>
      <c r="B123" s="150" t="s">
        <v>1112</v>
      </c>
      <c r="C123" s="134" t="s">
        <v>3</v>
      </c>
      <c r="D123" s="128">
        <v>64</v>
      </c>
    </row>
    <row r="124" spans="1:4" ht="12.75">
      <c r="A124" s="149" t="s">
        <v>1113</v>
      </c>
      <c r="B124" s="150" t="s">
        <v>1114</v>
      </c>
      <c r="C124" s="134" t="s">
        <v>3</v>
      </c>
      <c r="D124" s="128">
        <v>28</v>
      </c>
    </row>
    <row r="125" spans="1:4" ht="12.75">
      <c r="A125" s="149" t="s">
        <v>1115</v>
      </c>
      <c r="B125" s="150" t="s">
        <v>1116</v>
      </c>
      <c r="C125" s="134" t="s">
        <v>3</v>
      </c>
      <c r="D125" s="128">
        <v>27</v>
      </c>
    </row>
    <row r="126" spans="1:4" ht="12.75">
      <c r="A126" s="149" t="s">
        <v>1117</v>
      </c>
      <c r="B126" s="150" t="s">
        <v>1277</v>
      </c>
      <c r="C126" s="134" t="s">
        <v>3</v>
      </c>
      <c r="D126" s="128">
        <v>1</v>
      </c>
    </row>
    <row r="127" spans="1:4" ht="12.75">
      <c r="A127" s="149" t="s">
        <v>1118</v>
      </c>
      <c r="B127" s="150" t="s">
        <v>1119</v>
      </c>
      <c r="C127" s="134" t="s">
        <v>3</v>
      </c>
      <c r="D127" s="128">
        <v>1</v>
      </c>
    </row>
    <row r="128" spans="1:4" ht="12.75">
      <c r="A128" s="149" t="s">
        <v>1120</v>
      </c>
      <c r="B128" s="150" t="s">
        <v>1121</v>
      </c>
      <c r="C128" s="134" t="s">
        <v>3</v>
      </c>
      <c r="D128" s="128">
        <v>13</v>
      </c>
    </row>
    <row r="129" spans="1:4" ht="12.75">
      <c r="A129" s="149" t="s">
        <v>1122</v>
      </c>
      <c r="B129" s="150" t="s">
        <v>1123</v>
      </c>
      <c r="C129" s="134" t="s">
        <v>3</v>
      </c>
      <c r="D129" s="128">
        <v>95</v>
      </c>
    </row>
    <row r="130" spans="1:4" ht="12.75">
      <c r="A130" s="162" t="s">
        <v>1124</v>
      </c>
      <c r="B130" s="150" t="s">
        <v>1125</v>
      </c>
      <c r="C130" s="134" t="s">
        <v>3</v>
      </c>
      <c r="D130" s="128">
        <v>664</v>
      </c>
    </row>
    <row r="131" spans="1:4" ht="12.75">
      <c r="A131" s="149" t="s">
        <v>1126</v>
      </c>
      <c r="B131" s="147" t="s">
        <v>1127</v>
      </c>
      <c r="C131" s="163"/>
      <c r="D131" s="102"/>
    </row>
    <row r="132" spans="1:4" ht="12.75">
      <c r="A132" s="149"/>
      <c r="B132" s="164" t="s">
        <v>1128</v>
      </c>
      <c r="C132" s="151"/>
      <c r="D132" s="102"/>
    </row>
    <row r="133" spans="1:4" ht="12.75">
      <c r="A133" s="149" t="s">
        <v>1129</v>
      </c>
      <c r="B133" s="165" t="s">
        <v>1130</v>
      </c>
      <c r="C133" s="166" t="s">
        <v>12</v>
      </c>
      <c r="D133" s="138">
        <v>20</v>
      </c>
    </row>
    <row r="134" spans="1:4" ht="12.75">
      <c r="A134" s="149" t="s">
        <v>1131</v>
      </c>
      <c r="B134" s="165" t="s">
        <v>1132</v>
      </c>
      <c r="C134" s="167" t="s">
        <v>12</v>
      </c>
      <c r="D134" s="168">
        <v>50</v>
      </c>
    </row>
    <row r="135" spans="1:4" ht="12.75">
      <c r="A135" s="149"/>
      <c r="B135" s="164" t="s">
        <v>1133</v>
      </c>
      <c r="C135" s="169"/>
      <c r="D135" s="137"/>
    </row>
    <row r="136" spans="1:4" ht="12.75">
      <c r="A136" s="149" t="s">
        <v>1134</v>
      </c>
      <c r="B136" s="165" t="s">
        <v>1135</v>
      </c>
      <c r="C136" s="166" t="s">
        <v>12</v>
      </c>
      <c r="D136" s="138">
        <v>20</v>
      </c>
    </row>
    <row r="137" spans="1:4" ht="12.75">
      <c r="A137" s="149" t="s">
        <v>1136</v>
      </c>
      <c r="B137" s="165" t="s">
        <v>1137</v>
      </c>
      <c r="C137" s="166" t="s">
        <v>12</v>
      </c>
      <c r="D137" s="138">
        <v>10</v>
      </c>
    </row>
    <row r="138" spans="1:4" ht="12.75">
      <c r="A138" s="149" t="s">
        <v>1138</v>
      </c>
      <c r="B138" s="165" t="s">
        <v>1139</v>
      </c>
      <c r="C138" s="166" t="s">
        <v>12</v>
      </c>
      <c r="D138" s="138">
        <v>80</v>
      </c>
    </row>
    <row r="139" spans="1:4" ht="12.75">
      <c r="A139" s="149" t="s">
        <v>1140</v>
      </c>
      <c r="B139" s="165" t="s">
        <v>1141</v>
      </c>
      <c r="C139" s="166" t="s">
        <v>12</v>
      </c>
      <c r="D139" s="138">
        <v>50</v>
      </c>
    </row>
    <row r="140" spans="1:4" ht="12.75">
      <c r="A140" s="149" t="s">
        <v>1142</v>
      </c>
      <c r="B140" s="165" t="s">
        <v>1143</v>
      </c>
      <c r="C140" s="166" t="s">
        <v>12</v>
      </c>
      <c r="D140" s="138">
        <v>10</v>
      </c>
    </row>
    <row r="141" spans="1:4" ht="12.75">
      <c r="A141" s="149" t="s">
        <v>1144</v>
      </c>
      <c r="B141" s="165" t="s">
        <v>1145</v>
      </c>
      <c r="C141" s="166" t="s">
        <v>12</v>
      </c>
      <c r="D141" s="138">
        <v>375</v>
      </c>
    </row>
    <row r="142" spans="1:4" ht="12.75">
      <c r="A142" s="149" t="s">
        <v>1146</v>
      </c>
      <c r="B142" s="165" t="s">
        <v>1147</v>
      </c>
      <c r="C142" s="166" t="s">
        <v>12</v>
      </c>
      <c r="D142" s="138">
        <v>280</v>
      </c>
    </row>
    <row r="143" spans="1:4" ht="12.75">
      <c r="A143" s="149" t="s">
        <v>1148</v>
      </c>
      <c r="B143" s="165" t="s">
        <v>1149</v>
      </c>
      <c r="C143" s="166" t="s">
        <v>12</v>
      </c>
      <c r="D143" s="138">
        <v>15</v>
      </c>
    </row>
    <row r="144" spans="1:4" ht="12.75">
      <c r="A144" s="149" t="s">
        <v>1150</v>
      </c>
      <c r="B144" s="165" t="s">
        <v>1151</v>
      </c>
      <c r="C144" s="166" t="s">
        <v>12</v>
      </c>
      <c r="D144" s="138">
        <v>5050</v>
      </c>
    </row>
    <row r="145" spans="1:4" ht="12.75">
      <c r="A145" s="149" t="s">
        <v>1152</v>
      </c>
      <c r="B145" s="170" t="s">
        <v>1153</v>
      </c>
      <c r="C145" s="166" t="s">
        <v>12</v>
      </c>
      <c r="D145" s="138">
        <v>365</v>
      </c>
    </row>
    <row r="146" spans="1:4" ht="12.75">
      <c r="A146" s="149" t="s">
        <v>1154</v>
      </c>
      <c r="B146" s="170" t="s">
        <v>1155</v>
      </c>
      <c r="C146" s="166" t="s">
        <v>12</v>
      </c>
      <c r="D146" s="138">
        <v>125</v>
      </c>
    </row>
    <row r="147" spans="1:4" ht="12.75">
      <c r="A147" s="149" t="s">
        <v>1156</v>
      </c>
      <c r="B147" s="170" t="s">
        <v>1157</v>
      </c>
      <c r="C147" s="166" t="s">
        <v>12</v>
      </c>
      <c r="D147" s="138">
        <v>280</v>
      </c>
    </row>
    <row r="148" spans="1:4" ht="12.75">
      <c r="A148" s="149" t="s">
        <v>1158</v>
      </c>
      <c r="B148" s="170" t="s">
        <v>1159</v>
      </c>
      <c r="C148" s="166" t="s">
        <v>12</v>
      </c>
      <c r="D148" s="171">
        <v>10750</v>
      </c>
    </row>
    <row r="149" spans="1:4" ht="12.75">
      <c r="A149" s="149" t="s">
        <v>1160</v>
      </c>
      <c r="B149" s="170" t="s">
        <v>1161</v>
      </c>
      <c r="C149" s="166" t="s">
        <v>12</v>
      </c>
      <c r="D149" s="138">
        <v>130</v>
      </c>
    </row>
    <row r="150" spans="1:4" ht="12.75">
      <c r="A150" s="149" t="s">
        <v>1162</v>
      </c>
      <c r="B150" s="170" t="s">
        <v>1163</v>
      </c>
      <c r="C150" s="166" t="s">
        <v>12</v>
      </c>
      <c r="D150" s="171">
        <v>1860</v>
      </c>
    </row>
    <row r="151" spans="1:4" ht="12.75">
      <c r="A151" s="149" t="s">
        <v>1164</v>
      </c>
      <c r="B151" s="170" t="s">
        <v>1165</v>
      </c>
      <c r="C151" s="166" t="s">
        <v>12</v>
      </c>
      <c r="D151" s="171">
        <v>7985</v>
      </c>
    </row>
    <row r="152" spans="1:4" ht="12.75">
      <c r="A152" s="149"/>
      <c r="B152" s="170" t="s">
        <v>1343</v>
      </c>
      <c r="C152" s="166" t="s">
        <v>12</v>
      </c>
      <c r="D152" s="138">
        <v>25</v>
      </c>
    </row>
    <row r="153" spans="1:4" ht="12.75">
      <c r="A153" s="149" t="s">
        <v>1166</v>
      </c>
      <c r="B153" s="170" t="s">
        <v>1167</v>
      </c>
      <c r="C153" s="166" t="s">
        <v>12</v>
      </c>
      <c r="D153" s="138">
        <v>150</v>
      </c>
    </row>
    <row r="154" spans="1:4" ht="12.75">
      <c r="A154" s="162" t="s">
        <v>1168</v>
      </c>
      <c r="B154" s="164" t="s">
        <v>440</v>
      </c>
      <c r="C154" s="172" t="s">
        <v>3</v>
      </c>
      <c r="D154" s="217">
        <v>277</v>
      </c>
    </row>
    <row r="155" spans="1:4" ht="12.75">
      <c r="A155" s="152" t="s">
        <v>1169</v>
      </c>
      <c r="B155" s="173" t="s">
        <v>1170</v>
      </c>
      <c r="C155" s="151"/>
      <c r="D155" s="102"/>
    </row>
    <row r="156" spans="1:4" ht="25.5">
      <c r="A156" s="152" t="s">
        <v>1171</v>
      </c>
      <c r="B156" s="174" t="s">
        <v>1172</v>
      </c>
      <c r="C156" s="153" t="s">
        <v>3</v>
      </c>
      <c r="D156" s="143">
        <v>8</v>
      </c>
    </row>
    <row r="157" spans="1:4" ht="25.5">
      <c r="A157" s="152" t="s">
        <v>1173</v>
      </c>
      <c r="B157" s="175" t="s">
        <v>1174</v>
      </c>
      <c r="C157" s="153" t="s">
        <v>3</v>
      </c>
      <c r="D157" s="143">
        <v>6</v>
      </c>
    </row>
    <row r="158" spans="1:4" ht="25.5">
      <c r="A158" s="152" t="s">
        <v>1175</v>
      </c>
      <c r="B158" s="176" t="s">
        <v>1176</v>
      </c>
      <c r="C158" s="153" t="s">
        <v>3</v>
      </c>
      <c r="D158" s="143">
        <v>70</v>
      </c>
    </row>
    <row r="159" spans="1:4" ht="38.25">
      <c r="A159" s="152" t="s">
        <v>1177</v>
      </c>
      <c r="B159" s="177" t="s">
        <v>1178</v>
      </c>
      <c r="C159" s="153" t="s">
        <v>3</v>
      </c>
      <c r="D159" s="143">
        <v>30</v>
      </c>
    </row>
    <row r="160" spans="1:4" ht="38.25">
      <c r="A160" s="152" t="s">
        <v>1179</v>
      </c>
      <c r="B160" s="178" t="s">
        <v>1180</v>
      </c>
      <c r="C160" s="153" t="s">
        <v>3</v>
      </c>
      <c r="D160" s="143">
        <v>10</v>
      </c>
    </row>
    <row r="161" spans="1:4" ht="38.25">
      <c r="A161" s="152" t="s">
        <v>1181</v>
      </c>
      <c r="B161" s="178" t="s">
        <v>1182</v>
      </c>
      <c r="C161" s="153" t="s">
        <v>3</v>
      </c>
      <c r="D161" s="143">
        <v>30</v>
      </c>
    </row>
    <row r="162" spans="1:4" ht="12.75">
      <c r="A162" s="152" t="s">
        <v>1183</v>
      </c>
      <c r="B162" s="179" t="s">
        <v>1184</v>
      </c>
      <c r="C162" s="153" t="s">
        <v>15</v>
      </c>
      <c r="D162" s="143">
        <v>350</v>
      </c>
    </row>
    <row r="163" spans="1:4" ht="12.75">
      <c r="A163" s="180" t="s">
        <v>1185</v>
      </c>
      <c r="B163" s="181" t="s">
        <v>1186</v>
      </c>
      <c r="C163" s="154" t="s">
        <v>12</v>
      </c>
      <c r="D163" s="155">
        <v>300</v>
      </c>
    </row>
    <row r="164" spans="1:4" ht="12.75">
      <c r="A164" s="149" t="s">
        <v>1187</v>
      </c>
      <c r="B164" s="182" t="s">
        <v>1278</v>
      </c>
      <c r="C164" s="183"/>
      <c r="D164" s="148"/>
    </row>
    <row r="165" spans="1:4" ht="25.5">
      <c r="A165" s="149" t="s">
        <v>1189</v>
      </c>
      <c r="B165" s="156" t="s">
        <v>1190</v>
      </c>
      <c r="C165" s="157" t="s">
        <v>12</v>
      </c>
      <c r="D165" s="157">
        <v>60</v>
      </c>
    </row>
    <row r="166" spans="1:4" ht="25.5">
      <c r="A166" s="149" t="s">
        <v>1189</v>
      </c>
      <c r="B166" s="156" t="s">
        <v>1191</v>
      </c>
      <c r="C166" s="157" t="s">
        <v>12</v>
      </c>
      <c r="D166" s="157">
        <v>12</v>
      </c>
    </row>
    <row r="167" spans="1:4" ht="25.5">
      <c r="A167" s="149" t="s">
        <v>1192</v>
      </c>
      <c r="B167" s="156" t="s">
        <v>1193</v>
      </c>
      <c r="C167" s="157" t="s">
        <v>12</v>
      </c>
      <c r="D167" s="128">
        <v>420</v>
      </c>
    </row>
    <row r="168" spans="1:4" ht="25.5">
      <c r="A168" s="149" t="s">
        <v>1194</v>
      </c>
      <c r="B168" s="158" t="s">
        <v>1195</v>
      </c>
      <c r="C168" s="157" t="s">
        <v>15</v>
      </c>
      <c r="D168" s="128">
        <v>74</v>
      </c>
    </row>
    <row r="169" spans="1:4" ht="25.5">
      <c r="A169" s="149" t="s">
        <v>1196</v>
      </c>
      <c r="B169" s="158" t="s">
        <v>1197</v>
      </c>
      <c r="C169" s="157" t="s">
        <v>15</v>
      </c>
      <c r="D169" s="128">
        <v>6</v>
      </c>
    </row>
    <row r="170" spans="1:4" ht="25.5">
      <c r="A170" s="149" t="s">
        <v>1198</v>
      </c>
      <c r="B170" s="158" t="s">
        <v>1199</v>
      </c>
      <c r="C170" s="157" t="s">
        <v>15</v>
      </c>
      <c r="D170" s="128">
        <v>210</v>
      </c>
    </row>
    <row r="171" spans="1:4" ht="25.5">
      <c r="A171" s="149" t="s">
        <v>1200</v>
      </c>
      <c r="B171" s="158" t="s">
        <v>1201</v>
      </c>
      <c r="C171" s="157" t="s">
        <v>15</v>
      </c>
      <c r="D171" s="128">
        <v>216</v>
      </c>
    </row>
    <row r="172" spans="1:4" ht="25.5">
      <c r="A172" s="162" t="s">
        <v>1202</v>
      </c>
      <c r="B172" s="158" t="s">
        <v>1203</v>
      </c>
      <c r="C172" s="157" t="s">
        <v>15</v>
      </c>
      <c r="D172" s="128">
        <v>8</v>
      </c>
    </row>
    <row r="173" spans="1:4" ht="12.75">
      <c r="A173" s="149" t="s">
        <v>1204</v>
      </c>
      <c r="B173" s="182" t="s">
        <v>1205</v>
      </c>
      <c r="C173" s="183"/>
      <c r="D173" s="148"/>
    </row>
    <row r="174" spans="1:4" ht="12.75">
      <c r="A174" s="149" t="s">
        <v>1206</v>
      </c>
      <c r="B174" s="159" t="s">
        <v>1207</v>
      </c>
      <c r="C174" s="157" t="s">
        <v>3</v>
      </c>
      <c r="D174" s="160">
        <v>20</v>
      </c>
    </row>
    <row r="175" spans="1:4" ht="12.75">
      <c r="A175" s="149" t="s">
        <v>1208</v>
      </c>
      <c r="B175" s="218" t="s">
        <v>1344</v>
      </c>
      <c r="C175" s="219" t="s">
        <v>12</v>
      </c>
      <c r="D175" s="160">
        <v>340</v>
      </c>
    </row>
    <row r="176" spans="1:4" ht="12.75">
      <c r="A176" s="149" t="s">
        <v>1210</v>
      </c>
      <c r="B176" s="218" t="s">
        <v>1345</v>
      </c>
      <c r="C176" s="157" t="s">
        <v>15</v>
      </c>
      <c r="D176" s="160">
        <v>20</v>
      </c>
    </row>
    <row r="177" spans="1:4" ht="12.75">
      <c r="A177" s="149" t="s">
        <v>1346</v>
      </c>
      <c r="B177" s="218" t="s">
        <v>1347</v>
      </c>
      <c r="C177" s="157" t="s">
        <v>15</v>
      </c>
      <c r="D177" s="160">
        <v>40</v>
      </c>
    </row>
    <row r="178" spans="1:4" ht="12.75">
      <c r="A178" s="149" t="s">
        <v>1348</v>
      </c>
      <c r="B178" s="218" t="s">
        <v>1349</v>
      </c>
      <c r="C178" s="157" t="s">
        <v>15</v>
      </c>
      <c r="D178" s="160">
        <v>310</v>
      </c>
    </row>
    <row r="179" spans="1:4" ht="12.75">
      <c r="A179" s="149" t="s">
        <v>1350</v>
      </c>
      <c r="B179" s="218" t="s">
        <v>1351</v>
      </c>
      <c r="C179" s="157" t="s">
        <v>15</v>
      </c>
      <c r="D179" s="160">
        <v>40</v>
      </c>
    </row>
    <row r="180" spans="1:4" ht="12.75">
      <c r="A180" s="149" t="s">
        <v>1352</v>
      </c>
      <c r="B180" s="156" t="s">
        <v>1209</v>
      </c>
      <c r="C180" s="157" t="s">
        <v>15</v>
      </c>
      <c r="D180" s="160">
        <v>4</v>
      </c>
    </row>
    <row r="181" spans="1:4" ht="12.75">
      <c r="A181" s="149" t="s">
        <v>1353</v>
      </c>
      <c r="B181" s="156" t="s">
        <v>1354</v>
      </c>
      <c r="C181" s="157" t="s">
        <v>15</v>
      </c>
      <c r="D181" s="160">
        <v>2</v>
      </c>
    </row>
    <row r="182" spans="1:4" ht="12.75">
      <c r="A182" s="149" t="s">
        <v>1355</v>
      </c>
      <c r="B182" s="156" t="s">
        <v>1211</v>
      </c>
      <c r="C182" s="157" t="s">
        <v>1212</v>
      </c>
      <c r="D182" s="160">
        <v>1</v>
      </c>
    </row>
    <row r="183" spans="1:4" ht="12.75">
      <c r="A183" s="149" t="s">
        <v>1213</v>
      </c>
      <c r="B183" s="161" t="s">
        <v>1188</v>
      </c>
      <c r="C183" s="110"/>
      <c r="D183" s="110"/>
    </row>
    <row r="184" spans="1:4" ht="12.75">
      <c r="A184" s="149" t="s">
        <v>1214</v>
      </c>
      <c r="B184" s="151" t="s">
        <v>1215</v>
      </c>
      <c r="C184" s="157" t="s">
        <v>12</v>
      </c>
      <c r="D184" s="157">
        <v>35</v>
      </c>
    </row>
    <row r="185" spans="1:4" ht="12.75">
      <c r="A185" s="149" t="s">
        <v>1216</v>
      </c>
      <c r="B185" s="159" t="s">
        <v>1217</v>
      </c>
      <c r="C185" s="157" t="s">
        <v>12</v>
      </c>
      <c r="D185" s="160">
        <v>20</v>
      </c>
    </row>
    <row r="186" spans="1:4" ht="12.75">
      <c r="A186" s="149" t="s">
        <v>1218</v>
      </c>
      <c r="B186" s="159" t="s">
        <v>1219</v>
      </c>
      <c r="C186" s="157" t="s">
        <v>12</v>
      </c>
      <c r="D186" s="160">
        <v>60</v>
      </c>
    </row>
    <row r="187" spans="1:4" ht="12.75">
      <c r="A187" s="149" t="s">
        <v>1220</v>
      </c>
      <c r="B187" s="184" t="s">
        <v>1221</v>
      </c>
      <c r="C187" s="185" t="s">
        <v>12</v>
      </c>
      <c r="D187" s="186">
        <v>210</v>
      </c>
    </row>
    <row r="188" spans="1:4" ht="12.75">
      <c r="A188" s="149" t="s">
        <v>1222</v>
      </c>
      <c r="B188" s="159" t="s">
        <v>1223</v>
      </c>
      <c r="C188" s="185" t="s">
        <v>12</v>
      </c>
      <c r="D188" s="186">
        <v>530</v>
      </c>
    </row>
    <row r="189" spans="1:4" ht="12.75">
      <c r="A189" s="149" t="s">
        <v>1224</v>
      </c>
      <c r="B189" s="159" t="s">
        <v>1225</v>
      </c>
      <c r="C189" s="185" t="s">
        <v>12</v>
      </c>
      <c r="D189" s="186">
        <v>2500</v>
      </c>
    </row>
    <row r="190" spans="1:4" ht="12.75">
      <c r="A190" s="149" t="s">
        <v>1226</v>
      </c>
      <c r="B190" s="159" t="s">
        <v>1227</v>
      </c>
      <c r="C190" s="185" t="s">
        <v>12</v>
      </c>
      <c r="D190" s="186">
        <v>2050</v>
      </c>
    </row>
    <row r="191" spans="1:4" ht="12.75">
      <c r="A191" s="149" t="s">
        <v>1228</v>
      </c>
      <c r="B191" s="156" t="s">
        <v>1229</v>
      </c>
      <c r="C191" s="187" t="s">
        <v>65</v>
      </c>
      <c r="D191" s="188">
        <v>150</v>
      </c>
    </row>
    <row r="192" spans="1:4" ht="25.5">
      <c r="A192" s="149" t="s">
        <v>1230</v>
      </c>
      <c r="B192" s="70" t="s">
        <v>1342</v>
      </c>
      <c r="C192" s="72" t="s">
        <v>61</v>
      </c>
      <c r="D192" s="71">
        <v>20</v>
      </c>
    </row>
    <row r="193" spans="1:4" ht="12.75">
      <c r="A193" s="149" t="s">
        <v>1356</v>
      </c>
      <c r="B193" s="156" t="s">
        <v>1231</v>
      </c>
      <c r="C193" s="166" t="s">
        <v>3</v>
      </c>
      <c r="D193" s="138">
        <v>1</v>
      </c>
    </row>
    <row r="194" spans="1:4" ht="25.5">
      <c r="A194" s="149" t="s">
        <v>403</v>
      </c>
      <c r="B194" s="220" t="s">
        <v>1412</v>
      </c>
      <c r="C194" s="48"/>
      <c r="D194" s="221"/>
    </row>
    <row r="195" spans="1:4" ht="25.5">
      <c r="A195" s="214" t="s">
        <v>1413</v>
      </c>
      <c r="B195" s="14" t="s">
        <v>1414</v>
      </c>
      <c r="C195" s="15" t="s">
        <v>51</v>
      </c>
      <c r="D195" s="30">
        <v>14</v>
      </c>
    </row>
    <row r="196" spans="1:4" ht="38.25">
      <c r="A196" s="214" t="s">
        <v>1415</v>
      </c>
      <c r="B196" s="14" t="s">
        <v>1416</v>
      </c>
      <c r="C196" s="222" t="s">
        <v>51</v>
      </c>
      <c r="D196" s="223">
        <v>14</v>
      </c>
    </row>
    <row r="197" spans="1:4" ht="12.75">
      <c r="A197" s="214" t="s">
        <v>1417</v>
      </c>
      <c r="B197" s="32" t="s">
        <v>1418</v>
      </c>
      <c r="C197" s="224" t="s">
        <v>61</v>
      </c>
      <c r="D197" s="225">
        <v>6</v>
      </c>
    </row>
    <row r="198" spans="1:4" ht="12.75">
      <c r="A198" s="19" t="s">
        <v>0</v>
      </c>
      <c r="B198" s="20" t="s">
        <v>1</v>
      </c>
      <c r="C198" s="13"/>
      <c r="D198" s="28"/>
    </row>
    <row r="199" spans="1:4" ht="153">
      <c r="A199" s="19"/>
      <c r="B199" s="8" t="s">
        <v>1468</v>
      </c>
      <c r="C199" s="13" t="s">
        <v>2</v>
      </c>
      <c r="D199" s="212">
        <v>1</v>
      </c>
    </row>
    <row r="200" spans="1:4" ht="12.75">
      <c r="A200" s="4"/>
      <c r="B200" s="555" t="s">
        <v>13</v>
      </c>
      <c r="C200" s="556"/>
      <c r="D200" s="5"/>
    </row>
    <row r="201" spans="2:4" ht="12.75">
      <c r="B201" s="518"/>
      <c r="C201" s="518"/>
      <c r="D201" s="518"/>
    </row>
    <row r="202" spans="1:4" ht="12.75">
      <c r="A202" s="287" t="s">
        <v>14</v>
      </c>
      <c r="B202" s="288"/>
      <c r="C202" s="286"/>
      <c r="D202" s="286"/>
    </row>
    <row r="203" spans="1:4" ht="12.75">
      <c r="A203" s="289"/>
      <c r="B203" s="290" t="s">
        <v>4</v>
      </c>
      <c r="C203" s="286"/>
      <c r="D203" s="286"/>
    </row>
    <row r="204" spans="1:4" ht="12.75">
      <c r="A204" s="289"/>
      <c r="B204" s="291"/>
      <c r="C204" s="286"/>
      <c r="D204" s="286"/>
    </row>
    <row r="205" spans="1:4" ht="12.75">
      <c r="A205" s="287" t="s">
        <v>6</v>
      </c>
      <c r="B205" s="288"/>
      <c r="C205" s="286"/>
      <c r="D205" s="286"/>
    </row>
    <row r="206" spans="1:4" ht="12.75">
      <c r="A206" s="289"/>
      <c r="B206" s="290" t="s">
        <v>4</v>
      </c>
      <c r="C206" s="286"/>
      <c r="D206" s="286"/>
    </row>
    <row r="207" spans="1:4" ht="12.75">
      <c r="A207" s="289" t="s">
        <v>5</v>
      </c>
      <c r="B207" s="351"/>
      <c r="C207" s="286"/>
      <c r="D207" s="286"/>
    </row>
  </sheetData>
  <sheetProtection/>
  <mergeCells count="10">
    <mergeCell ref="B200:C200"/>
    <mergeCell ref="A9:D9"/>
    <mergeCell ref="A10:B10"/>
    <mergeCell ref="C10:D10"/>
    <mergeCell ref="A1:D1"/>
    <mergeCell ref="A2:D2"/>
    <mergeCell ref="A3:D3"/>
    <mergeCell ref="A5:D5"/>
    <mergeCell ref="A6:D6"/>
    <mergeCell ref="A7:D7"/>
  </mergeCells>
  <conditionalFormatting sqref="C15:C135 C155:C172">
    <cfRule type="cellIs" priority="15" dxfId="20" operator="equal" stopIfTrue="1">
      <formula>0</formula>
    </cfRule>
    <cfRule type="expression" priority="16" dxfId="20" stopIfTrue="1">
      <formula>#DIV/0!</formula>
    </cfRule>
  </conditionalFormatting>
  <conditionalFormatting sqref="C136:C151 C153:C154">
    <cfRule type="cellIs" priority="13" dxfId="20" operator="equal" stopIfTrue="1">
      <formula>0</formula>
    </cfRule>
    <cfRule type="expression" priority="14" dxfId="20" stopIfTrue="1">
      <formula>#DIV/0!</formula>
    </cfRule>
  </conditionalFormatting>
  <conditionalFormatting sqref="C152">
    <cfRule type="cellIs" priority="11" dxfId="20" operator="equal" stopIfTrue="1">
      <formula>0</formula>
    </cfRule>
    <cfRule type="expression" priority="12" dxfId="20" stopIfTrue="1">
      <formula>#DIV/0!</formula>
    </cfRule>
  </conditionalFormatting>
  <conditionalFormatting sqref="C173:C182">
    <cfRule type="cellIs" priority="9" dxfId="20" operator="equal" stopIfTrue="1">
      <formula>0</formula>
    </cfRule>
    <cfRule type="expression" priority="10" dxfId="20" stopIfTrue="1">
      <formula>#DIV/0!</formula>
    </cfRule>
  </conditionalFormatting>
  <conditionalFormatting sqref="C192">
    <cfRule type="cellIs" priority="5" dxfId="20" operator="equal" stopIfTrue="1">
      <formula>0</formula>
    </cfRule>
    <cfRule type="expression" priority="6" dxfId="20" stopIfTrue="1">
      <formula>#DIV/0!</formula>
    </cfRule>
  </conditionalFormatting>
  <conditionalFormatting sqref="C184:C191 C193">
    <cfRule type="cellIs" priority="7" dxfId="20" operator="equal" stopIfTrue="1">
      <formula>0</formula>
    </cfRule>
    <cfRule type="expression" priority="8" dxfId="20" stopIfTrue="1">
      <formula>#DIV/0!</formula>
    </cfRule>
  </conditionalFormatting>
  <conditionalFormatting sqref="C194:C196">
    <cfRule type="cellIs" priority="3" dxfId="20" operator="equal" stopIfTrue="1">
      <formula>0</formula>
    </cfRule>
    <cfRule type="expression" priority="4" dxfId="20" stopIfTrue="1">
      <formula>#DIV/0!</formula>
    </cfRule>
  </conditionalFormatting>
  <conditionalFormatting sqref="C197">
    <cfRule type="cellIs" priority="1" dxfId="20" operator="equal" stopIfTrue="1">
      <formula>0</formula>
    </cfRule>
    <cfRule type="expression" priority="2" dxfId="20" stopIfTrue="1">
      <formula>#DIV/0!</formula>
    </cfRule>
  </conditionalFormatting>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rgb="FFFF0000"/>
  </sheetPr>
  <dimension ref="A1:G43"/>
  <sheetViews>
    <sheetView showZeros="0" view="pageBreakPreview" zoomScale="115" zoomScaleSheetLayoutView="115" zoomScalePageLayoutView="0" workbookViewId="0" topLeftCell="A19">
      <selection activeCell="B35" sqref="B35"/>
    </sheetView>
  </sheetViews>
  <sheetFormatPr defaultColWidth="11.421875" defaultRowHeight="15"/>
  <cols>
    <col min="1" max="1" width="6.7109375" style="3" customWidth="1"/>
    <col min="2" max="2" width="53.8515625" style="3" customWidth="1"/>
    <col min="3" max="3" width="11.57421875" style="3" customWidth="1"/>
    <col min="4" max="4" width="12.00390625" style="25" customWidth="1"/>
    <col min="5" max="5" width="10.140625" style="2" customWidth="1"/>
    <col min="6" max="16384" width="11.421875" style="2" customWidth="1"/>
  </cols>
  <sheetData>
    <row r="1" spans="1:4" ht="15.75">
      <c r="A1" s="544" t="s">
        <v>1514</v>
      </c>
      <c r="B1" s="544"/>
      <c r="C1" s="544"/>
      <c r="D1" s="544"/>
    </row>
    <row r="2" spans="1:4" ht="18" customHeight="1">
      <c r="A2" s="545" t="s">
        <v>712</v>
      </c>
      <c r="B2" s="545"/>
      <c r="C2" s="545"/>
      <c r="D2" s="545"/>
    </row>
    <row r="3" spans="1:4" ht="15.75" customHeight="1">
      <c r="A3" s="546" t="s">
        <v>1452</v>
      </c>
      <c r="B3" s="546"/>
      <c r="C3" s="546"/>
      <c r="D3" s="546"/>
    </row>
    <row r="4" spans="1:4" ht="15.75" customHeight="1">
      <c r="A4" s="295"/>
      <c r="B4" s="295"/>
      <c r="C4" s="295"/>
      <c r="D4" s="295"/>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75">
      <c r="A9" s="558"/>
      <c r="B9" s="558"/>
      <c r="C9" s="558"/>
      <c r="D9" s="558"/>
    </row>
    <row r="10" spans="1:4" ht="15.75">
      <c r="A10" s="550" t="s">
        <v>1539</v>
      </c>
      <c r="B10" s="550"/>
      <c r="C10" s="557"/>
      <c r="D10" s="557"/>
    </row>
    <row r="11" spans="1:4" ht="15.75">
      <c r="A11" s="297"/>
      <c r="B11" s="297"/>
      <c r="C11" s="249"/>
      <c r="D11" s="249"/>
    </row>
    <row r="12" spans="1:4" ht="48.75" customHeight="1">
      <c r="A12" s="309" t="s">
        <v>886</v>
      </c>
      <c r="B12" s="299" t="s">
        <v>1455</v>
      </c>
      <c r="C12" s="309" t="s">
        <v>1464</v>
      </c>
      <c r="D12" s="299" t="s">
        <v>1465</v>
      </c>
    </row>
    <row r="13" spans="1:4" ht="15.75">
      <c r="A13" s="260">
        <v>1</v>
      </c>
      <c r="B13" s="260">
        <v>2</v>
      </c>
      <c r="C13" s="260">
        <v>3</v>
      </c>
      <c r="D13" s="260">
        <v>4</v>
      </c>
    </row>
    <row r="14" spans="1:4" s="26" customFormat="1" ht="12.75">
      <c r="A14" s="19"/>
      <c r="B14" s="108" t="s">
        <v>712</v>
      </c>
      <c r="C14" s="101"/>
      <c r="D14" s="102"/>
    </row>
    <row r="15" spans="1:4" s="117" customFormat="1" ht="29.25" customHeight="1">
      <c r="A15" s="35" t="s">
        <v>27</v>
      </c>
      <c r="B15" s="521" t="s">
        <v>1259</v>
      </c>
      <c r="C15" s="121" t="s">
        <v>12</v>
      </c>
      <c r="D15" s="109">
        <v>6</v>
      </c>
    </row>
    <row r="16" spans="1:4" s="117" customFormat="1" ht="25.5">
      <c r="A16" s="35" t="s">
        <v>34</v>
      </c>
      <c r="B16" s="521" t="s">
        <v>1260</v>
      </c>
      <c r="C16" s="121" t="s">
        <v>15</v>
      </c>
      <c r="D16" s="109">
        <v>1</v>
      </c>
    </row>
    <row r="17" spans="1:4" s="117" customFormat="1" ht="30" customHeight="1">
      <c r="A17" s="35" t="s">
        <v>28</v>
      </c>
      <c r="B17" s="122" t="s">
        <v>1665</v>
      </c>
      <c r="C17" s="121" t="s">
        <v>3</v>
      </c>
      <c r="D17" s="109">
        <v>1</v>
      </c>
    </row>
    <row r="18" spans="1:4" s="117" customFormat="1" ht="12.75">
      <c r="A18" s="35" t="s">
        <v>16</v>
      </c>
      <c r="B18" s="521" t="s">
        <v>1261</v>
      </c>
      <c r="C18" s="121" t="s">
        <v>3</v>
      </c>
      <c r="D18" s="109">
        <v>1</v>
      </c>
    </row>
    <row r="19" spans="1:4" s="117" customFormat="1" ht="16.5">
      <c r="A19" s="35" t="s">
        <v>48</v>
      </c>
      <c r="B19" s="521" t="s">
        <v>1262</v>
      </c>
      <c r="C19" s="121" t="s">
        <v>1263</v>
      </c>
      <c r="D19" s="109">
        <v>12</v>
      </c>
    </row>
    <row r="20" spans="1:4" s="117" customFormat="1" ht="17.25" customHeight="1">
      <c r="A20" s="35" t="s">
        <v>17</v>
      </c>
      <c r="B20" s="521" t="s">
        <v>1264</v>
      </c>
      <c r="C20" s="121" t="s">
        <v>1263</v>
      </c>
      <c r="D20" s="109">
        <f>D19</f>
        <v>12</v>
      </c>
    </row>
    <row r="21" spans="1:4" s="26" customFormat="1" ht="25.5">
      <c r="A21" s="35" t="s">
        <v>18</v>
      </c>
      <c r="B21" s="521" t="s">
        <v>1265</v>
      </c>
      <c r="C21" s="121" t="s">
        <v>1266</v>
      </c>
      <c r="D21" s="109">
        <v>16.5</v>
      </c>
    </row>
    <row r="22" spans="1:4" s="9" customFormat="1" ht="38.25">
      <c r="A22" s="35" t="s">
        <v>19</v>
      </c>
      <c r="B22" s="521" t="s">
        <v>1267</v>
      </c>
      <c r="C22" s="121" t="s">
        <v>1266</v>
      </c>
      <c r="D22" s="109">
        <v>3</v>
      </c>
    </row>
    <row r="23" spans="1:4" ht="25.5">
      <c r="A23" s="35" t="s">
        <v>403</v>
      </c>
      <c r="B23" s="521" t="s">
        <v>1268</v>
      </c>
      <c r="C23" s="121" t="s">
        <v>1266</v>
      </c>
      <c r="D23" s="109">
        <f>D22</f>
        <v>3</v>
      </c>
    </row>
    <row r="24" spans="1:4" ht="27" customHeight="1">
      <c r="A24" s="35" t="s">
        <v>404</v>
      </c>
      <c r="B24" s="521" t="s">
        <v>1269</v>
      </c>
      <c r="C24" s="121" t="s">
        <v>1266</v>
      </c>
      <c r="D24" s="109">
        <f>D21-D23</f>
        <v>13.5</v>
      </c>
    </row>
    <row r="25" spans="1:4" ht="15.75">
      <c r="A25" s="35" t="s">
        <v>460</v>
      </c>
      <c r="B25" s="521" t="s">
        <v>1270</v>
      </c>
      <c r="C25" s="121" t="s">
        <v>15</v>
      </c>
      <c r="D25" s="109">
        <v>1</v>
      </c>
    </row>
    <row r="26" spans="1:4" ht="12.75" customHeight="1">
      <c r="A26" s="35" t="s">
        <v>462</v>
      </c>
      <c r="B26" s="521" t="s">
        <v>1271</v>
      </c>
      <c r="C26" s="121" t="s">
        <v>3</v>
      </c>
      <c r="D26" s="109">
        <v>1</v>
      </c>
    </row>
    <row r="27" spans="1:4" ht="15.75">
      <c r="A27" s="35" t="s">
        <v>464</v>
      </c>
      <c r="B27" s="521" t="s">
        <v>1272</v>
      </c>
      <c r="C27" s="121" t="s">
        <v>12</v>
      </c>
      <c r="D27" s="109">
        <f>D15</f>
        <v>6</v>
      </c>
    </row>
    <row r="28" spans="1:4" ht="15.75">
      <c r="A28" s="35" t="s">
        <v>466</v>
      </c>
      <c r="B28" s="521" t="s">
        <v>1273</v>
      </c>
      <c r="C28" s="121" t="s">
        <v>12</v>
      </c>
      <c r="D28" s="109">
        <v>5</v>
      </c>
    </row>
    <row r="29" spans="1:4" ht="15.75">
      <c r="A29" s="35" t="s">
        <v>468</v>
      </c>
      <c r="B29" s="521" t="s">
        <v>1274</v>
      </c>
      <c r="C29" s="121" t="s">
        <v>12</v>
      </c>
      <c r="D29" s="109">
        <v>3</v>
      </c>
    </row>
    <row r="30" spans="1:4" ht="15.75">
      <c r="A30" s="35" t="s">
        <v>470</v>
      </c>
      <c r="B30" s="521" t="s">
        <v>1275</v>
      </c>
      <c r="C30" s="121" t="s">
        <v>15</v>
      </c>
      <c r="D30" s="109">
        <v>1</v>
      </c>
    </row>
    <row r="31" spans="1:7" ht="15.75">
      <c r="A31" s="35" t="s">
        <v>472</v>
      </c>
      <c r="B31" s="521" t="s">
        <v>1276</v>
      </c>
      <c r="C31" s="121" t="s">
        <v>3</v>
      </c>
      <c r="D31" s="109">
        <v>1</v>
      </c>
      <c r="G31" s="534"/>
    </row>
    <row r="32" spans="1:4" ht="15.75">
      <c r="A32" s="35" t="s">
        <v>474</v>
      </c>
      <c r="B32" s="14" t="s">
        <v>866</v>
      </c>
      <c r="C32" s="12" t="s">
        <v>2</v>
      </c>
      <c r="D32" s="6">
        <v>1</v>
      </c>
    </row>
    <row r="33" spans="1:4" ht="15.75">
      <c r="A33" s="35" t="s">
        <v>476</v>
      </c>
      <c r="B33" s="118" t="s">
        <v>867</v>
      </c>
      <c r="C33" s="119" t="s">
        <v>2</v>
      </c>
      <c r="D33" s="120">
        <v>1</v>
      </c>
    </row>
    <row r="34" spans="1:4" ht="15.75">
      <c r="A34" s="19" t="s">
        <v>0</v>
      </c>
      <c r="B34" s="111" t="s">
        <v>1</v>
      </c>
      <c r="C34" s="13"/>
      <c r="D34" s="28"/>
    </row>
    <row r="35" spans="1:4" ht="140.25">
      <c r="A35" s="19"/>
      <c r="B35" s="8" t="s">
        <v>1469</v>
      </c>
      <c r="C35" s="13" t="s">
        <v>2</v>
      </c>
      <c r="D35" s="212">
        <v>1</v>
      </c>
    </row>
    <row r="36" spans="1:4" ht="15.75">
      <c r="A36" s="4"/>
      <c r="B36" s="555" t="s">
        <v>13</v>
      </c>
      <c r="C36" s="556"/>
      <c r="D36" s="5"/>
    </row>
    <row r="37" spans="2:4" ht="15.75">
      <c r="B37" s="2"/>
      <c r="C37" s="2"/>
      <c r="D37" s="2"/>
    </row>
    <row r="38" spans="1:4" ht="21.75" customHeight="1">
      <c r="A38" s="287" t="s">
        <v>14</v>
      </c>
      <c r="B38" s="288"/>
      <c r="C38" s="286"/>
      <c r="D38" s="286"/>
    </row>
    <row r="39" spans="1:4" ht="15.75">
      <c r="A39" s="289"/>
      <c r="B39" s="290" t="s">
        <v>4</v>
      </c>
      <c r="C39" s="286"/>
      <c r="D39" s="286"/>
    </row>
    <row r="40" spans="1:4" ht="15.75">
      <c r="A40" s="289"/>
      <c r="B40" s="291"/>
      <c r="C40" s="286"/>
      <c r="D40" s="286"/>
    </row>
    <row r="41" spans="1:4" ht="15.75">
      <c r="A41" s="287" t="s">
        <v>6</v>
      </c>
      <c r="B41" s="288"/>
      <c r="C41" s="286"/>
      <c r="D41" s="286"/>
    </row>
    <row r="42" spans="1:4" ht="15.75">
      <c r="A42" s="289"/>
      <c r="B42" s="290" t="s">
        <v>4</v>
      </c>
      <c r="C42" s="286"/>
      <c r="D42" s="286"/>
    </row>
    <row r="43" spans="1:4" ht="15.75">
      <c r="A43" s="289" t="s">
        <v>5</v>
      </c>
      <c r="B43" s="351"/>
      <c r="C43" s="286"/>
      <c r="D43" s="286"/>
    </row>
  </sheetData>
  <sheetProtection/>
  <mergeCells count="10">
    <mergeCell ref="B36:C36"/>
    <mergeCell ref="C10:D10"/>
    <mergeCell ref="A1:D1"/>
    <mergeCell ref="A2:D2"/>
    <mergeCell ref="A3:D3"/>
    <mergeCell ref="A5:D5"/>
    <mergeCell ref="A6:D6"/>
    <mergeCell ref="A7:D7"/>
    <mergeCell ref="A9:D9"/>
    <mergeCell ref="A10:B10"/>
  </mergeCells>
  <conditionalFormatting sqref="C14:C33">
    <cfRule type="cellIs" priority="1" dxfId="20" operator="equal" stopIfTrue="1">
      <formula>0</formula>
    </cfRule>
    <cfRule type="expression" priority="2" dxfId="20"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tabColor rgb="FFFFC000"/>
  </sheetPr>
  <dimension ref="A1:D24"/>
  <sheetViews>
    <sheetView showZeros="0" view="pageBreakPreview" zoomScaleSheetLayoutView="100" zoomScalePageLayoutView="0" workbookViewId="0" topLeftCell="A1">
      <selection activeCell="B16" sqref="B16"/>
    </sheetView>
  </sheetViews>
  <sheetFormatPr defaultColWidth="11.421875" defaultRowHeight="15"/>
  <cols>
    <col min="1" max="1" width="6.421875" style="3" customWidth="1"/>
    <col min="2" max="2" width="53.140625" style="3" customWidth="1"/>
    <col min="3" max="3" width="11.7109375" style="3" customWidth="1"/>
    <col min="4" max="4" width="14.140625" style="25" customWidth="1"/>
    <col min="5" max="16384" width="11.421875" style="2" customWidth="1"/>
  </cols>
  <sheetData>
    <row r="1" spans="1:4" ht="15.75">
      <c r="A1" s="544" t="s">
        <v>1540</v>
      </c>
      <c r="B1" s="544"/>
      <c r="C1" s="544"/>
      <c r="D1" s="544"/>
    </row>
    <row r="2" spans="1:4" ht="18" customHeight="1">
      <c r="A2" s="545" t="s">
        <v>239</v>
      </c>
      <c r="B2" s="545"/>
      <c r="C2" s="545"/>
      <c r="D2" s="545"/>
    </row>
    <row r="3" spans="1:4" ht="15.75" customHeight="1">
      <c r="A3" s="546" t="s">
        <v>1452</v>
      </c>
      <c r="B3" s="546"/>
      <c r="C3" s="546"/>
      <c r="D3" s="546"/>
    </row>
    <row r="4" spans="1:4" ht="15.75">
      <c r="A4" s="124"/>
      <c r="B4" s="124"/>
      <c r="C4" s="124"/>
      <c r="D4" s="124"/>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75">
      <c r="A9" s="558"/>
      <c r="B9" s="558"/>
      <c r="C9" s="558"/>
      <c r="D9" s="558"/>
    </row>
    <row r="10" spans="1:4" ht="15.75">
      <c r="A10" s="550" t="s">
        <v>1456</v>
      </c>
      <c r="B10" s="550"/>
      <c r="C10" s="557"/>
      <c r="D10" s="557"/>
    </row>
    <row r="11" spans="1:4" ht="16.5">
      <c r="A11" s="215"/>
      <c r="B11" s="215"/>
      <c r="C11" s="215"/>
      <c r="D11" s="215"/>
    </row>
    <row r="12" spans="1:4" ht="46.5" customHeight="1">
      <c r="A12" s="309" t="s">
        <v>886</v>
      </c>
      <c r="B12" s="299" t="s">
        <v>1455</v>
      </c>
      <c r="C12" s="309" t="s">
        <v>1464</v>
      </c>
      <c r="D12" s="299" t="s">
        <v>1465</v>
      </c>
    </row>
    <row r="13" spans="1:4" ht="15.75">
      <c r="A13" s="260">
        <v>1</v>
      </c>
      <c r="B13" s="260">
        <v>2</v>
      </c>
      <c r="C13" s="260">
        <v>3</v>
      </c>
      <c r="D13" s="260">
        <v>4</v>
      </c>
    </row>
    <row r="14" spans="1:4" s="9" customFormat="1" ht="51">
      <c r="A14" s="12">
        <v>1</v>
      </c>
      <c r="B14" s="37" t="s">
        <v>1666</v>
      </c>
      <c r="C14" s="34" t="s">
        <v>175</v>
      </c>
      <c r="D14" s="531">
        <v>1</v>
      </c>
    </row>
    <row r="15" spans="1:4" s="9" customFormat="1" ht="63.75">
      <c r="A15" s="12">
        <v>2</v>
      </c>
      <c r="B15" s="37" t="s">
        <v>1667</v>
      </c>
      <c r="C15" s="34" t="s">
        <v>175</v>
      </c>
      <c r="D15" s="531">
        <v>1</v>
      </c>
    </row>
    <row r="16" spans="1:4" s="9" customFormat="1" ht="12.75">
      <c r="A16" s="19" t="s">
        <v>0</v>
      </c>
      <c r="B16" s="20" t="s">
        <v>1</v>
      </c>
      <c r="C16" s="13"/>
      <c r="D16" s="373"/>
    </row>
    <row r="17" spans="1:4" s="9" customFormat="1" ht="113.25" customHeight="1">
      <c r="A17" s="19"/>
      <c r="B17" s="8" t="s">
        <v>1469</v>
      </c>
      <c r="C17" s="13" t="s">
        <v>2</v>
      </c>
      <c r="D17" s="373">
        <v>1</v>
      </c>
    </row>
    <row r="18" spans="1:4" ht="15.75">
      <c r="A18" s="4"/>
      <c r="B18" s="555" t="s">
        <v>13</v>
      </c>
      <c r="C18" s="556"/>
      <c r="D18" s="5"/>
    </row>
    <row r="19" spans="1:4" ht="21.75" customHeight="1">
      <c r="A19" s="287" t="s">
        <v>14</v>
      </c>
      <c r="B19" s="288"/>
      <c r="C19" s="286"/>
      <c r="D19" s="286"/>
    </row>
    <row r="20" spans="1:4" ht="15.75">
      <c r="A20" s="289"/>
      <c r="B20" s="290" t="s">
        <v>4</v>
      </c>
      <c r="C20" s="286"/>
      <c r="D20" s="286"/>
    </row>
    <row r="21" spans="1:4" ht="15.75">
      <c r="A21" s="289"/>
      <c r="B21" s="291"/>
      <c r="C21" s="286"/>
      <c r="D21" s="286"/>
    </row>
    <row r="22" spans="1:4" ht="15.75">
      <c r="A22" s="287" t="s">
        <v>6</v>
      </c>
      <c r="B22" s="288"/>
      <c r="C22" s="286"/>
      <c r="D22" s="286"/>
    </row>
    <row r="23" spans="1:4" ht="15.75">
      <c r="A23" s="289"/>
      <c r="B23" s="290" t="s">
        <v>4</v>
      </c>
      <c r="C23" s="286"/>
      <c r="D23" s="286"/>
    </row>
    <row r="24" spans="1:4" ht="15.75">
      <c r="A24" s="289" t="s">
        <v>5</v>
      </c>
      <c r="B24" s="351"/>
      <c r="C24" s="286"/>
      <c r="D24" s="286"/>
    </row>
  </sheetData>
  <sheetProtection/>
  <mergeCells count="10">
    <mergeCell ref="B18:C18"/>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sheetPr>
    <tabColor rgb="FFFF0000"/>
  </sheetPr>
  <dimension ref="A1:D38"/>
  <sheetViews>
    <sheetView showZeros="0" view="pageBreakPreview" zoomScale="115" zoomScaleSheetLayoutView="115" zoomScalePageLayoutView="0" workbookViewId="0" topLeftCell="A10">
      <selection activeCell="D14" sqref="D14:D28"/>
    </sheetView>
  </sheetViews>
  <sheetFormatPr defaultColWidth="11.421875" defaultRowHeight="15"/>
  <cols>
    <col min="1" max="1" width="4.7109375" style="3" customWidth="1"/>
    <col min="2" max="2" width="53.8515625" style="3" customWidth="1"/>
    <col min="3" max="3" width="11.8515625" style="3" customWidth="1"/>
    <col min="4" max="4" width="11.57421875" style="25" customWidth="1"/>
    <col min="5" max="5" width="10.140625" style="2" customWidth="1"/>
    <col min="6" max="16384" width="11.421875" style="2" customWidth="1"/>
  </cols>
  <sheetData>
    <row r="1" spans="1:4" ht="15.75">
      <c r="A1" s="544" t="s">
        <v>1541</v>
      </c>
      <c r="B1" s="544"/>
      <c r="C1" s="544"/>
      <c r="D1" s="544"/>
    </row>
    <row r="2" spans="1:4" ht="18" customHeight="1">
      <c r="A2" s="545" t="s">
        <v>226</v>
      </c>
      <c r="B2" s="545"/>
      <c r="C2" s="545"/>
      <c r="D2" s="545"/>
    </row>
    <row r="3" spans="1:4" ht="15.75" customHeight="1">
      <c r="A3" s="546" t="s">
        <v>1452</v>
      </c>
      <c r="B3" s="546"/>
      <c r="C3" s="546"/>
      <c r="D3" s="546"/>
    </row>
    <row r="4" spans="1:4" ht="15.75" customHeight="1">
      <c r="A4" s="295"/>
      <c r="B4" s="295"/>
      <c r="C4" s="295"/>
      <c r="D4" s="295"/>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75">
      <c r="A9" s="558"/>
      <c r="B9" s="558"/>
      <c r="C9" s="558"/>
      <c r="D9" s="558"/>
    </row>
    <row r="10" spans="1:4" ht="15.75">
      <c r="A10" s="550" t="s">
        <v>1456</v>
      </c>
      <c r="B10" s="550"/>
      <c r="C10" s="557"/>
      <c r="D10" s="557"/>
    </row>
    <row r="11" spans="1:4" ht="15.75">
      <c r="A11" s="297"/>
      <c r="B11" s="297"/>
      <c r="C11" s="249"/>
      <c r="D11" s="249"/>
    </row>
    <row r="12" spans="1:4" ht="42.75" customHeight="1">
      <c r="A12" s="309" t="s">
        <v>886</v>
      </c>
      <c r="B12" s="299" t="s">
        <v>1455</v>
      </c>
      <c r="C12" s="309" t="s">
        <v>1464</v>
      </c>
      <c r="D12" s="299" t="s">
        <v>1465</v>
      </c>
    </row>
    <row r="13" spans="1:4" ht="15.75">
      <c r="A13" s="260">
        <v>1</v>
      </c>
      <c r="B13" s="260">
        <v>2</v>
      </c>
      <c r="C13" s="260">
        <v>3</v>
      </c>
      <c r="D13" s="260">
        <v>4</v>
      </c>
    </row>
    <row r="14" spans="1:4" s="9" customFormat="1" ht="12.75">
      <c r="A14" s="12">
        <v>1</v>
      </c>
      <c r="B14" s="16" t="s">
        <v>227</v>
      </c>
      <c r="C14" s="10" t="s">
        <v>15</v>
      </c>
      <c r="D14" s="370">
        <v>3</v>
      </c>
    </row>
    <row r="15" spans="1:4" s="9" customFormat="1" ht="12.75">
      <c r="A15" s="12">
        <v>2</v>
      </c>
      <c r="B15" s="16" t="s">
        <v>228</v>
      </c>
      <c r="C15" s="10" t="s">
        <v>15</v>
      </c>
      <c r="D15" s="370">
        <v>3</v>
      </c>
    </row>
    <row r="16" spans="1:4" s="9" customFormat="1" ht="12.75">
      <c r="A16" s="12">
        <v>3</v>
      </c>
      <c r="B16" s="16" t="s">
        <v>229</v>
      </c>
      <c r="C16" s="10" t="s">
        <v>15</v>
      </c>
      <c r="D16" s="370">
        <v>3</v>
      </c>
    </row>
    <row r="17" spans="1:4" s="9" customFormat="1" ht="12.75">
      <c r="A17" s="12">
        <v>4</v>
      </c>
      <c r="B17" s="16" t="s">
        <v>230</v>
      </c>
      <c r="C17" s="10" t="s">
        <v>15</v>
      </c>
      <c r="D17" s="370">
        <v>3</v>
      </c>
    </row>
    <row r="18" spans="1:4" s="9" customFormat="1" ht="12.75">
      <c r="A18" s="12">
        <v>5</v>
      </c>
      <c r="B18" s="22" t="s">
        <v>232</v>
      </c>
      <c r="C18" s="10" t="s">
        <v>15</v>
      </c>
      <c r="D18" s="370">
        <v>3</v>
      </c>
    </row>
    <row r="19" spans="1:4" s="9" customFormat="1" ht="12.75">
      <c r="A19" s="12">
        <v>6</v>
      </c>
      <c r="B19" s="46" t="s">
        <v>233</v>
      </c>
      <c r="C19" s="47" t="s">
        <v>15</v>
      </c>
      <c r="D19" s="533">
        <v>2</v>
      </c>
    </row>
    <row r="20" spans="1:4" s="9" customFormat="1" ht="12.75">
      <c r="A20" s="12">
        <v>7</v>
      </c>
      <c r="B20" s="17" t="s">
        <v>237</v>
      </c>
      <c r="C20" s="47" t="s">
        <v>15</v>
      </c>
      <c r="D20" s="374">
        <v>3</v>
      </c>
    </row>
    <row r="21" spans="1:4" s="9" customFormat="1" ht="12.75">
      <c r="A21" s="12">
        <v>8</v>
      </c>
      <c r="B21" s="16" t="s">
        <v>236</v>
      </c>
      <c r="C21" s="10" t="s">
        <v>15</v>
      </c>
      <c r="D21" s="370">
        <v>2</v>
      </c>
    </row>
    <row r="22" spans="1:4" s="9" customFormat="1" ht="12.75">
      <c r="A22" s="12">
        <v>9</v>
      </c>
      <c r="B22" s="46" t="s">
        <v>234</v>
      </c>
      <c r="C22" s="47" t="s">
        <v>15</v>
      </c>
      <c r="D22" s="533">
        <v>3</v>
      </c>
    </row>
    <row r="23" spans="1:4" s="9" customFormat="1" ht="12.75">
      <c r="A23" s="12">
        <v>10</v>
      </c>
      <c r="B23" s="46" t="s">
        <v>235</v>
      </c>
      <c r="C23" s="47" t="s">
        <v>15</v>
      </c>
      <c r="D23" s="533">
        <v>5</v>
      </c>
    </row>
    <row r="24" spans="1:4" s="9" customFormat="1" ht="12.75">
      <c r="A24" s="12">
        <v>11</v>
      </c>
      <c r="B24" s="16" t="s">
        <v>238</v>
      </c>
      <c r="C24" s="10" t="s">
        <v>15</v>
      </c>
      <c r="D24" s="370">
        <v>3</v>
      </c>
    </row>
    <row r="25" spans="1:4" s="9" customFormat="1" ht="12.75">
      <c r="A25" s="29" t="s">
        <v>1404</v>
      </c>
      <c r="B25" s="16" t="s">
        <v>1405</v>
      </c>
      <c r="C25" s="10" t="s">
        <v>15</v>
      </c>
      <c r="D25" s="370">
        <v>1</v>
      </c>
    </row>
    <row r="26" spans="1:4" s="9" customFormat="1" ht="12.75">
      <c r="A26" s="12">
        <v>12</v>
      </c>
      <c r="B26" s="16" t="s">
        <v>231</v>
      </c>
      <c r="C26" s="10" t="s">
        <v>3</v>
      </c>
      <c r="D26" s="370">
        <v>3</v>
      </c>
    </row>
    <row r="27" spans="1:4" s="9" customFormat="1" ht="12.75">
      <c r="A27" s="19" t="s">
        <v>0</v>
      </c>
      <c r="B27" s="20" t="s">
        <v>1</v>
      </c>
      <c r="C27" s="13"/>
      <c r="D27" s="373"/>
    </row>
    <row r="28" spans="1:4" s="9" customFormat="1" ht="140.25">
      <c r="A28" s="19"/>
      <c r="B28" s="8" t="s">
        <v>1466</v>
      </c>
      <c r="C28" s="13" t="s">
        <v>2</v>
      </c>
      <c r="D28" s="373">
        <v>1</v>
      </c>
    </row>
    <row r="29" spans="1:4" ht="15.75">
      <c r="A29" s="4"/>
      <c r="B29" s="555" t="s">
        <v>13</v>
      </c>
      <c r="C29" s="556"/>
      <c r="D29" s="5"/>
    </row>
    <row r="30" spans="2:4" ht="8.25" customHeight="1">
      <c r="B30" s="2"/>
      <c r="C30" s="2"/>
      <c r="D30" s="2"/>
    </row>
    <row r="31" spans="1:4" ht="15.75">
      <c r="A31" s="287" t="s">
        <v>14</v>
      </c>
      <c r="B31" s="288"/>
      <c r="C31" s="286"/>
      <c r="D31" s="286"/>
    </row>
    <row r="32" spans="1:4" ht="15.75">
      <c r="A32" s="289"/>
      <c r="B32" s="290" t="s">
        <v>4</v>
      </c>
      <c r="C32" s="286"/>
      <c r="D32" s="286"/>
    </row>
    <row r="33" spans="1:4" ht="15.75">
      <c r="A33" s="289"/>
      <c r="B33" s="291"/>
      <c r="C33" s="286"/>
      <c r="D33" s="286"/>
    </row>
    <row r="34" spans="1:4" ht="10.5" customHeight="1">
      <c r="A34" s="287" t="s">
        <v>6</v>
      </c>
      <c r="B34" s="288"/>
      <c r="C34" s="286"/>
      <c r="D34" s="286"/>
    </row>
    <row r="35" spans="1:4" ht="15.75">
      <c r="A35" s="289"/>
      <c r="B35" s="290" t="s">
        <v>4</v>
      </c>
      <c r="C35" s="286"/>
      <c r="D35" s="286"/>
    </row>
    <row r="36" spans="1:4" ht="15.75">
      <c r="A36" s="289" t="s">
        <v>5</v>
      </c>
      <c r="B36" s="351"/>
      <c r="C36" s="286"/>
      <c r="D36" s="286"/>
    </row>
    <row r="37" spans="1:4" ht="15.75">
      <c r="A37" s="226"/>
      <c r="B37" s="1"/>
      <c r="D37" s="3"/>
    </row>
    <row r="38" spans="1:4" ht="15.75">
      <c r="A38" s="226"/>
      <c r="B38" s="123"/>
      <c r="D38" s="3"/>
    </row>
  </sheetData>
  <sheetProtection/>
  <mergeCells count="10">
    <mergeCell ref="B29:C29"/>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38" max="6" man="1"/>
  </rowBreaks>
</worksheet>
</file>

<file path=xl/worksheets/sheet25.xml><?xml version="1.0" encoding="utf-8"?>
<worksheet xmlns="http://schemas.openxmlformats.org/spreadsheetml/2006/main" xmlns:r="http://schemas.openxmlformats.org/officeDocument/2006/relationships">
  <sheetPr>
    <tabColor rgb="FFFF0000"/>
  </sheetPr>
  <dimension ref="A1:D55"/>
  <sheetViews>
    <sheetView view="pageBreakPreview" zoomScale="145" zoomScaleSheetLayoutView="145" zoomScalePageLayoutView="0" workbookViewId="0" topLeftCell="A37">
      <selection activeCell="B43" sqref="B43"/>
    </sheetView>
  </sheetViews>
  <sheetFormatPr defaultColWidth="11.421875" defaultRowHeight="15"/>
  <cols>
    <col min="1" max="1" width="4.7109375" style="3" customWidth="1"/>
    <col min="2" max="2" width="57.8515625" style="3" customWidth="1"/>
    <col min="3" max="3" width="11.7109375" style="3" customWidth="1"/>
    <col min="4" max="4" width="14.28125" style="25" customWidth="1"/>
    <col min="5" max="5" width="10.140625" style="2" customWidth="1"/>
    <col min="6" max="16384" width="11.421875" style="2" customWidth="1"/>
  </cols>
  <sheetData>
    <row r="1" spans="1:4" ht="15.75">
      <c r="A1" s="544" t="s">
        <v>1542</v>
      </c>
      <c r="B1" s="544"/>
      <c r="C1" s="544"/>
      <c r="D1" s="544"/>
    </row>
    <row r="2" spans="1:4" ht="18" customHeight="1">
      <c r="A2" s="545" t="s">
        <v>1384</v>
      </c>
      <c r="B2" s="545"/>
      <c r="C2" s="545"/>
      <c r="D2" s="545"/>
    </row>
    <row r="3" spans="1:4" ht="15.75" customHeight="1">
      <c r="A3" s="546" t="s">
        <v>1452</v>
      </c>
      <c r="B3" s="546"/>
      <c r="C3" s="546"/>
      <c r="D3" s="546"/>
    </row>
    <row r="4" spans="1:4" ht="15.75" customHeight="1">
      <c r="A4" s="295"/>
      <c r="B4" s="295"/>
      <c r="C4" s="295"/>
      <c r="D4" s="295"/>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75">
      <c r="A9" s="558"/>
      <c r="B9" s="558"/>
      <c r="C9" s="558"/>
      <c r="D9" s="558"/>
    </row>
    <row r="10" spans="1:4" ht="15.75">
      <c r="A10" s="550" t="s">
        <v>1543</v>
      </c>
      <c r="B10" s="550"/>
      <c r="C10" s="557"/>
      <c r="D10" s="557"/>
    </row>
    <row r="11" spans="1:4" ht="15.75">
      <c r="A11" s="297"/>
      <c r="B11" s="297"/>
      <c r="C11" s="249"/>
      <c r="D11" s="249"/>
    </row>
    <row r="12" spans="1:4" ht="42.75" customHeight="1">
      <c r="A12" s="309" t="s">
        <v>886</v>
      </c>
      <c r="B12" s="299" t="s">
        <v>1455</v>
      </c>
      <c r="C12" s="309" t="s">
        <v>1464</v>
      </c>
      <c r="D12" s="299" t="s">
        <v>1465</v>
      </c>
    </row>
    <row r="13" spans="1:4" ht="15.75">
      <c r="A13" s="260">
        <v>1</v>
      </c>
      <c r="B13" s="260">
        <v>2</v>
      </c>
      <c r="C13" s="260">
        <v>3</v>
      </c>
      <c r="D13" s="260">
        <v>4</v>
      </c>
    </row>
    <row r="14" spans="1:4" s="9" customFormat="1" ht="12.75">
      <c r="A14" s="12"/>
      <c r="B14" s="21" t="s">
        <v>50</v>
      </c>
      <c r="C14" s="10"/>
      <c r="D14" s="24"/>
    </row>
    <row r="15" spans="1:4" s="9" customFormat="1" ht="12.75">
      <c r="A15" s="12">
        <v>1</v>
      </c>
      <c r="B15" s="14" t="s">
        <v>1359</v>
      </c>
      <c r="C15" s="15" t="s">
        <v>51</v>
      </c>
      <c r="D15" s="372">
        <v>7</v>
      </c>
    </row>
    <row r="16" spans="1:4" s="9" customFormat="1" ht="12.75">
      <c r="A16" s="12">
        <v>2</v>
      </c>
      <c r="B16" s="16" t="s">
        <v>1360</v>
      </c>
      <c r="C16" s="10" t="s">
        <v>54</v>
      </c>
      <c r="D16" s="368">
        <v>3.5</v>
      </c>
    </row>
    <row r="17" spans="1:4" s="9" customFormat="1" ht="25.5">
      <c r="A17" s="12">
        <v>3</v>
      </c>
      <c r="B17" s="8" t="s">
        <v>1361</v>
      </c>
      <c r="C17" s="7" t="s">
        <v>51</v>
      </c>
      <c r="D17" s="527">
        <v>10</v>
      </c>
    </row>
    <row r="18" spans="1:4" s="9" customFormat="1" ht="12.75">
      <c r="A18" s="12"/>
      <c r="B18" s="21" t="s">
        <v>1362</v>
      </c>
      <c r="C18" s="110"/>
      <c r="D18" s="528"/>
    </row>
    <row r="19" spans="1:4" s="9" customFormat="1" ht="12.75">
      <c r="A19" s="12">
        <v>4</v>
      </c>
      <c r="B19" s="16" t="s">
        <v>1363</v>
      </c>
      <c r="C19" s="10" t="s">
        <v>54</v>
      </c>
      <c r="D19" s="368">
        <v>5.2</v>
      </c>
    </row>
    <row r="20" spans="1:4" s="9" customFormat="1" ht="25.5">
      <c r="A20" s="12">
        <v>5</v>
      </c>
      <c r="B20" s="14" t="s">
        <v>1364</v>
      </c>
      <c r="C20" s="36" t="s">
        <v>54</v>
      </c>
      <c r="D20" s="371">
        <v>0.75</v>
      </c>
    </row>
    <row r="21" spans="1:4" s="9" customFormat="1" ht="76.5">
      <c r="A21" s="12">
        <v>6</v>
      </c>
      <c r="B21" s="197" t="s">
        <v>1365</v>
      </c>
      <c r="C21" s="198" t="s">
        <v>3</v>
      </c>
      <c r="D21" s="529">
        <v>1</v>
      </c>
    </row>
    <row r="22" spans="1:4" s="9" customFormat="1" ht="76.5">
      <c r="A22" s="12">
        <v>7</v>
      </c>
      <c r="B22" s="197" t="s">
        <v>1366</v>
      </c>
      <c r="C22" s="198" t="s">
        <v>3</v>
      </c>
      <c r="D22" s="529">
        <v>1</v>
      </c>
    </row>
    <row r="23" spans="1:4" s="9" customFormat="1" ht="89.25">
      <c r="A23" s="12">
        <v>8</v>
      </c>
      <c r="B23" s="197" t="s">
        <v>1367</v>
      </c>
      <c r="C23" s="198" t="s">
        <v>3</v>
      </c>
      <c r="D23" s="529">
        <v>1</v>
      </c>
    </row>
    <row r="24" spans="1:4" s="9" customFormat="1" ht="12.75">
      <c r="A24" s="12"/>
      <c r="B24" s="522" t="s">
        <v>1668</v>
      </c>
      <c r="C24" s="198"/>
      <c r="D24" s="529"/>
    </row>
    <row r="25" spans="1:4" s="9" customFormat="1" ht="12.75">
      <c r="A25" s="12">
        <v>9</v>
      </c>
      <c r="B25" s="199" t="s">
        <v>1368</v>
      </c>
      <c r="C25" s="200" t="s">
        <v>51</v>
      </c>
      <c r="D25" s="530">
        <f>10+7+5</f>
        <v>22</v>
      </c>
    </row>
    <row r="26" spans="1:4" s="9" customFormat="1" ht="12.75">
      <c r="A26" s="12"/>
      <c r="B26" s="201" t="s">
        <v>1369</v>
      </c>
      <c r="C26" s="200" t="s">
        <v>51</v>
      </c>
      <c r="D26" s="530">
        <f>D25*1.05</f>
        <v>23.1</v>
      </c>
    </row>
    <row r="27" spans="1:4" s="9" customFormat="1" ht="12.75">
      <c r="A27" s="12">
        <v>10</v>
      </c>
      <c r="B27" s="199" t="s">
        <v>1370</v>
      </c>
      <c r="C27" s="200" t="s">
        <v>54</v>
      </c>
      <c r="D27" s="530">
        <f>ROUND(D25*0.05,2)</f>
        <v>1.1</v>
      </c>
    </row>
    <row r="28" spans="1:4" s="9" customFormat="1" ht="12.75">
      <c r="A28" s="12">
        <v>11</v>
      </c>
      <c r="B28" s="199" t="s">
        <v>1371</v>
      </c>
      <c r="C28" s="200" t="s">
        <v>54</v>
      </c>
      <c r="D28" s="530">
        <f>ROUND(D25*0.12,2)</f>
        <v>2.64</v>
      </c>
    </row>
    <row r="29" spans="1:4" s="9" customFormat="1" ht="12.75">
      <c r="A29" s="12"/>
      <c r="B29" s="202" t="s">
        <v>1372</v>
      </c>
      <c r="C29" s="200"/>
      <c r="D29" s="530"/>
    </row>
    <row r="30" spans="1:4" s="9" customFormat="1" ht="25.5">
      <c r="A30" s="12">
        <v>12</v>
      </c>
      <c r="B30" s="37" t="s">
        <v>1373</v>
      </c>
      <c r="C30" s="34" t="s">
        <v>51</v>
      </c>
      <c r="D30" s="531">
        <f>20+32.4</f>
        <v>52.4</v>
      </c>
    </row>
    <row r="31" spans="1:4" s="9" customFormat="1" ht="25.5">
      <c r="A31" s="12"/>
      <c r="B31" s="203" t="s">
        <v>1374</v>
      </c>
      <c r="C31" s="34" t="s">
        <v>51</v>
      </c>
      <c r="D31" s="531">
        <f>D30*1.15</f>
        <v>60.25999999999999</v>
      </c>
    </row>
    <row r="32" spans="1:4" s="9" customFormat="1" ht="12.75">
      <c r="A32" s="12">
        <v>13</v>
      </c>
      <c r="B32" s="16" t="s">
        <v>1375</v>
      </c>
      <c r="C32" s="10" t="s">
        <v>51</v>
      </c>
      <c r="D32" s="369">
        <v>45.9</v>
      </c>
    </row>
    <row r="33" spans="1:4" s="9" customFormat="1" ht="12.75">
      <c r="A33" s="12">
        <v>14</v>
      </c>
      <c r="B33" s="37" t="s">
        <v>1376</v>
      </c>
      <c r="C33" s="34" t="s">
        <v>51</v>
      </c>
      <c r="D33" s="531">
        <v>26</v>
      </c>
    </row>
    <row r="34" spans="1:4" s="9" customFormat="1" ht="25.5">
      <c r="A34" s="12"/>
      <c r="B34" s="203" t="s">
        <v>1374</v>
      </c>
      <c r="C34" s="34" t="s">
        <v>51</v>
      </c>
      <c r="D34" s="531">
        <f>D33*1.15</f>
        <v>29.9</v>
      </c>
    </row>
    <row r="35" spans="1:4" s="9" customFormat="1" ht="25.5">
      <c r="A35" s="12">
        <v>15</v>
      </c>
      <c r="B35" s="199" t="s">
        <v>1377</v>
      </c>
      <c r="C35" s="200" t="s">
        <v>12</v>
      </c>
      <c r="D35" s="530">
        <v>21.3</v>
      </c>
    </row>
    <row r="36" spans="1:4" s="9" customFormat="1" ht="12.75">
      <c r="A36" s="12">
        <v>16</v>
      </c>
      <c r="B36" s="11" t="s">
        <v>1378</v>
      </c>
      <c r="C36" s="12" t="s">
        <v>51</v>
      </c>
      <c r="D36" s="368">
        <v>28</v>
      </c>
    </row>
    <row r="37" spans="1:4" s="9" customFormat="1" ht="38.25">
      <c r="A37" s="12">
        <v>17</v>
      </c>
      <c r="B37" s="204" t="s">
        <v>1669</v>
      </c>
      <c r="C37" s="12" t="s">
        <v>51</v>
      </c>
      <c r="D37" s="369">
        <f>ROUND(23.5*1.3,2)</f>
        <v>30.55</v>
      </c>
    </row>
    <row r="38" spans="1:4" s="9" customFormat="1" ht="38.25">
      <c r="A38" s="12">
        <v>18</v>
      </c>
      <c r="B38" s="199" t="s">
        <v>1670</v>
      </c>
      <c r="C38" s="200" t="s">
        <v>12</v>
      </c>
      <c r="D38" s="530">
        <v>23.5</v>
      </c>
    </row>
    <row r="39" spans="1:4" s="9" customFormat="1" ht="51">
      <c r="A39" s="12">
        <v>19</v>
      </c>
      <c r="B39" s="205" t="s">
        <v>1379</v>
      </c>
      <c r="C39" s="12" t="s">
        <v>51</v>
      </c>
      <c r="D39" s="532">
        <v>7.5</v>
      </c>
    </row>
    <row r="40" spans="1:4" s="9" customFormat="1" ht="12.75">
      <c r="A40" s="12">
        <v>20</v>
      </c>
      <c r="B40" s="17" t="s">
        <v>1380</v>
      </c>
      <c r="C40" s="33" t="s">
        <v>51</v>
      </c>
      <c r="D40" s="532">
        <f>D39</f>
        <v>7.5</v>
      </c>
    </row>
    <row r="41" spans="1:4" s="9" customFormat="1" ht="12.75">
      <c r="A41" s="12"/>
      <c r="B41" s="206" t="s">
        <v>1381</v>
      </c>
      <c r="C41" s="33" t="s">
        <v>65</v>
      </c>
      <c r="D41" s="532">
        <f>D40*0.4</f>
        <v>3</v>
      </c>
    </row>
    <row r="42" spans="1:4" s="9" customFormat="1" ht="38.25">
      <c r="A42" s="12">
        <v>21</v>
      </c>
      <c r="B42" s="199" t="s">
        <v>1382</v>
      </c>
      <c r="C42" s="200" t="s">
        <v>12</v>
      </c>
      <c r="D42" s="530">
        <f>1.9+2.4</f>
        <v>4.3</v>
      </c>
    </row>
    <row r="43" spans="1:4" s="9" customFormat="1" ht="38.25">
      <c r="A43" s="12">
        <v>22</v>
      </c>
      <c r="B43" s="199" t="s">
        <v>1383</v>
      </c>
      <c r="C43" s="200" t="s">
        <v>12</v>
      </c>
      <c r="D43" s="530">
        <v>7</v>
      </c>
    </row>
    <row r="44" spans="1:4" s="9" customFormat="1" ht="12.75">
      <c r="A44" s="19" t="s">
        <v>0</v>
      </c>
      <c r="B44" s="20" t="s">
        <v>1</v>
      </c>
      <c r="C44" s="13"/>
      <c r="D44" s="373"/>
    </row>
    <row r="45" spans="1:4" s="9" customFormat="1" ht="99" customHeight="1">
      <c r="A45" s="19"/>
      <c r="B45" s="8" t="s">
        <v>1469</v>
      </c>
      <c r="C45" s="13" t="s">
        <v>2</v>
      </c>
      <c r="D45" s="373">
        <v>1</v>
      </c>
    </row>
    <row r="46" spans="1:4" ht="15.75">
      <c r="A46" s="4"/>
      <c r="B46" s="555" t="s">
        <v>13</v>
      </c>
      <c r="C46" s="556"/>
      <c r="D46" s="5"/>
    </row>
    <row r="47" spans="2:4" ht="8.25" customHeight="1">
      <c r="B47" s="2"/>
      <c r="C47" s="2"/>
      <c r="D47" s="2"/>
    </row>
    <row r="48" spans="1:4" ht="15.75">
      <c r="A48" s="287" t="s">
        <v>14</v>
      </c>
      <c r="B48" s="288"/>
      <c r="C48" s="286"/>
      <c r="D48" s="286"/>
    </row>
    <row r="49" spans="1:4" ht="15.75">
      <c r="A49" s="289"/>
      <c r="B49" s="290" t="s">
        <v>4</v>
      </c>
      <c r="C49" s="286"/>
      <c r="D49" s="286"/>
    </row>
    <row r="50" spans="1:4" ht="15.75">
      <c r="A50" s="289"/>
      <c r="B50" s="291"/>
      <c r="C50" s="286"/>
      <c r="D50" s="286"/>
    </row>
    <row r="51" spans="1:4" ht="10.5" customHeight="1">
      <c r="A51" s="287" t="s">
        <v>6</v>
      </c>
      <c r="B51" s="288"/>
      <c r="C51" s="286"/>
      <c r="D51" s="286"/>
    </row>
    <row r="52" spans="1:4" ht="15.75">
      <c r="A52" s="289"/>
      <c r="B52" s="290" t="s">
        <v>4</v>
      </c>
      <c r="C52" s="286"/>
      <c r="D52" s="286"/>
    </row>
    <row r="53" spans="1:4" ht="15.75">
      <c r="A53" s="289" t="s">
        <v>5</v>
      </c>
      <c r="B53" s="351"/>
      <c r="C53" s="286"/>
      <c r="D53" s="286"/>
    </row>
    <row r="54" spans="1:4" ht="15.75">
      <c r="A54" s="226"/>
      <c r="B54" s="1"/>
      <c r="D54" s="3"/>
    </row>
    <row r="55" spans="1:4" ht="15.75">
      <c r="A55" s="226"/>
      <c r="B55" s="123"/>
      <c r="D55" s="3"/>
    </row>
  </sheetData>
  <sheetProtection/>
  <mergeCells count="10">
    <mergeCell ref="B46:C46"/>
    <mergeCell ref="A9:D9"/>
    <mergeCell ref="A10:B10"/>
    <mergeCell ref="C10:D10"/>
    <mergeCell ref="A1:D1"/>
    <mergeCell ref="A2:D2"/>
    <mergeCell ref="A3:D3"/>
    <mergeCell ref="A5:D5"/>
    <mergeCell ref="A6:D6"/>
    <mergeCell ref="A7:D7"/>
  </mergeCells>
  <printOptions/>
  <pageMargins left="0.7" right="0.7" top="0.75" bottom="0.75" header="0.3" footer="0.3"/>
  <pageSetup horizontalDpi="600" verticalDpi="600" orientation="portrait" paperSize="9" scale="98" r:id="rId2"/>
  <drawing r:id="rId1"/>
</worksheet>
</file>

<file path=xl/worksheets/sheet26.xml><?xml version="1.0" encoding="utf-8"?>
<worksheet xmlns="http://schemas.openxmlformats.org/spreadsheetml/2006/main" xmlns:r="http://schemas.openxmlformats.org/officeDocument/2006/relationships">
  <sheetPr>
    <tabColor rgb="FFFF0000"/>
  </sheetPr>
  <dimension ref="A1:D39"/>
  <sheetViews>
    <sheetView showZeros="0" view="pageBreakPreview" zoomScale="130" zoomScaleSheetLayoutView="130" zoomScalePageLayoutView="0" workbookViewId="0" topLeftCell="A16">
      <selection activeCell="I14" sqref="I14"/>
    </sheetView>
  </sheetViews>
  <sheetFormatPr defaultColWidth="11.421875" defaultRowHeight="15"/>
  <cols>
    <col min="1" max="1" width="7.421875" style="286" customWidth="1"/>
    <col min="2" max="2" width="50.8515625" style="286" customWidth="1"/>
    <col min="3" max="3" width="12.28125" style="286" customWidth="1"/>
    <col min="4" max="4" width="14.00390625" style="293" customWidth="1"/>
    <col min="5" max="5" width="10.140625" style="254" customWidth="1"/>
    <col min="6" max="16384" width="11.421875" style="254" customWidth="1"/>
  </cols>
  <sheetData>
    <row r="1" spans="1:4" ht="15.75">
      <c r="A1" s="544" t="s">
        <v>1515</v>
      </c>
      <c r="B1" s="544"/>
      <c r="C1" s="544"/>
      <c r="D1" s="544"/>
    </row>
    <row r="2" spans="1:4" ht="15">
      <c r="A2" s="545" t="s">
        <v>887</v>
      </c>
      <c r="B2" s="545"/>
      <c r="C2" s="545"/>
      <c r="D2" s="545"/>
    </row>
    <row r="3" spans="1:4" ht="15">
      <c r="A3" s="546" t="s">
        <v>1452</v>
      </c>
      <c r="B3" s="546"/>
      <c r="C3" s="546"/>
      <c r="D3" s="546"/>
    </row>
    <row r="4" spans="1:4" ht="15">
      <c r="A4" s="255"/>
      <c r="B4" s="255"/>
      <c r="C4" s="255"/>
      <c r="D4" s="255"/>
    </row>
    <row r="5" spans="1:4" s="264" customFormat="1" ht="30.7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
      <c r="A9" s="548"/>
      <c r="B9" s="548"/>
      <c r="C9" s="548"/>
      <c r="D9" s="548"/>
    </row>
    <row r="10" spans="1:4" ht="15">
      <c r="A10" s="550" t="s">
        <v>1544</v>
      </c>
      <c r="B10" s="550"/>
      <c r="C10" s="552"/>
      <c r="D10" s="552"/>
    </row>
    <row r="11" spans="1:4" ht="15">
      <c r="A11" s="507"/>
      <c r="B11" s="257"/>
      <c r="C11" s="257"/>
      <c r="D11" s="257"/>
    </row>
    <row r="12" spans="1:4" ht="44.25" customHeight="1">
      <c r="A12" s="309" t="s">
        <v>886</v>
      </c>
      <c r="B12" s="299" t="s">
        <v>1455</v>
      </c>
      <c r="C12" s="309" t="s">
        <v>1464</v>
      </c>
      <c r="D12" s="299" t="s">
        <v>1465</v>
      </c>
    </row>
    <row r="13" spans="1:4" ht="15">
      <c r="A13" s="260">
        <v>1</v>
      </c>
      <c r="B13" s="260">
        <v>2</v>
      </c>
      <c r="C13" s="260">
        <v>3</v>
      </c>
      <c r="D13" s="260">
        <v>4</v>
      </c>
    </row>
    <row r="14" spans="1:4" s="264" customFormat="1" ht="25.5">
      <c r="A14" s="280">
        <v>1</v>
      </c>
      <c r="B14" s="268" t="s">
        <v>871</v>
      </c>
      <c r="C14" s="39" t="s">
        <v>3</v>
      </c>
      <c r="D14" s="301">
        <v>1</v>
      </c>
    </row>
    <row r="15" spans="1:4" s="264" customFormat="1" ht="12.75">
      <c r="A15" s="280">
        <v>2</v>
      </c>
      <c r="B15" s="508" t="s">
        <v>872</v>
      </c>
      <c r="C15" s="39" t="s">
        <v>61</v>
      </c>
      <c r="D15" s="523">
        <v>1</v>
      </c>
    </row>
    <row r="16" spans="1:4" s="264" customFormat="1" ht="25.5">
      <c r="A16" s="280">
        <v>3</v>
      </c>
      <c r="B16" s="509" t="s">
        <v>873</v>
      </c>
      <c r="C16" s="39" t="s">
        <v>12</v>
      </c>
      <c r="D16" s="524">
        <v>110</v>
      </c>
    </row>
    <row r="17" spans="1:4" s="264" customFormat="1" ht="12.75">
      <c r="A17" s="280">
        <v>4</v>
      </c>
      <c r="B17" s="510" t="s">
        <v>882</v>
      </c>
      <c r="C17" s="511" t="s">
        <v>874</v>
      </c>
      <c r="D17" s="525">
        <v>12</v>
      </c>
    </row>
    <row r="18" spans="1:4" s="264" customFormat="1" ht="12.75">
      <c r="A18" s="280">
        <v>5</v>
      </c>
      <c r="B18" s="510" t="s">
        <v>885</v>
      </c>
      <c r="C18" s="511" t="s">
        <v>874</v>
      </c>
      <c r="D18" s="525">
        <v>12</v>
      </c>
    </row>
    <row r="19" spans="1:4" s="264" customFormat="1" ht="12.75">
      <c r="A19" s="280">
        <v>6</v>
      </c>
      <c r="B19" s="510" t="s">
        <v>884</v>
      </c>
      <c r="C19" s="511" t="s">
        <v>874</v>
      </c>
      <c r="D19" s="525">
        <v>12</v>
      </c>
    </row>
    <row r="20" spans="1:4" s="264" customFormat="1" ht="25.5">
      <c r="A20" s="280">
        <v>7</v>
      </c>
      <c r="B20" s="510" t="s">
        <v>883</v>
      </c>
      <c r="C20" s="511" t="s">
        <v>874</v>
      </c>
      <c r="D20" s="525">
        <v>12</v>
      </c>
    </row>
    <row r="21" spans="1:4" s="264" customFormat="1" ht="12.75">
      <c r="A21" s="280">
        <v>8</v>
      </c>
      <c r="B21" s="510" t="s">
        <v>875</v>
      </c>
      <c r="C21" s="511" t="s">
        <v>874</v>
      </c>
      <c r="D21" s="525">
        <v>12</v>
      </c>
    </row>
    <row r="22" spans="1:4" s="264" customFormat="1" ht="12.75">
      <c r="A22" s="280">
        <v>9</v>
      </c>
      <c r="B22" s="512" t="s">
        <v>876</v>
      </c>
      <c r="C22" s="511" t="s">
        <v>61</v>
      </c>
      <c r="D22" s="525">
        <v>1</v>
      </c>
    </row>
    <row r="23" spans="1:4" s="264" customFormat="1" ht="12.75">
      <c r="A23" s="280">
        <v>10</v>
      </c>
      <c r="B23" s="510" t="s">
        <v>877</v>
      </c>
      <c r="C23" s="513" t="s">
        <v>3</v>
      </c>
      <c r="D23" s="525">
        <v>15</v>
      </c>
    </row>
    <row r="24" spans="1:4" s="264" customFormat="1" ht="25.5">
      <c r="A24" s="280">
        <v>11</v>
      </c>
      <c r="B24" s="512" t="s">
        <v>878</v>
      </c>
      <c r="C24" s="514" t="s">
        <v>175</v>
      </c>
      <c r="D24" s="525">
        <v>1</v>
      </c>
    </row>
    <row r="25" spans="1:4" s="264" customFormat="1" ht="12.75">
      <c r="A25" s="280">
        <v>12</v>
      </c>
      <c r="B25" s="515" t="s">
        <v>879</v>
      </c>
      <c r="C25" s="516" t="s">
        <v>874</v>
      </c>
      <c r="D25" s="525">
        <v>12</v>
      </c>
    </row>
    <row r="26" spans="1:4" s="264" customFormat="1" ht="12.75">
      <c r="A26" s="280">
        <v>13</v>
      </c>
      <c r="B26" s="510" t="s">
        <v>880</v>
      </c>
      <c r="C26" s="514" t="s">
        <v>175</v>
      </c>
      <c r="D26" s="525">
        <v>1</v>
      </c>
    </row>
    <row r="27" spans="1:4" s="264" customFormat="1" ht="12.75">
      <c r="A27" s="280">
        <v>14</v>
      </c>
      <c r="B27" s="512" t="s">
        <v>881</v>
      </c>
      <c r="C27" s="511" t="s">
        <v>15</v>
      </c>
      <c r="D27" s="526">
        <v>2</v>
      </c>
    </row>
    <row r="28" spans="1:4" s="264" customFormat="1" ht="12.75">
      <c r="A28" s="273" t="s">
        <v>0</v>
      </c>
      <c r="B28" s="348" t="s">
        <v>1</v>
      </c>
      <c r="C28" s="349"/>
      <c r="D28" s="367"/>
    </row>
    <row r="29" spans="1:4" s="264" customFormat="1" ht="153">
      <c r="A29" s="273"/>
      <c r="B29" s="269" t="s">
        <v>1469</v>
      </c>
      <c r="C29" s="349" t="s">
        <v>2</v>
      </c>
      <c r="D29" s="367">
        <v>1</v>
      </c>
    </row>
    <row r="30" spans="1:4" ht="15">
      <c r="A30" s="4"/>
      <c r="B30" s="555" t="s">
        <v>13</v>
      </c>
      <c r="C30" s="556"/>
      <c r="D30" s="5"/>
    </row>
    <row r="31" spans="2:4" ht="12" customHeight="1">
      <c r="B31" s="254"/>
      <c r="C31" s="254"/>
      <c r="D31" s="254"/>
    </row>
    <row r="32" spans="1:4" ht="15">
      <c r="A32" s="287" t="s">
        <v>14</v>
      </c>
      <c r="B32" s="288"/>
      <c r="D32" s="286"/>
    </row>
    <row r="33" spans="1:4" ht="15">
      <c r="A33" s="289"/>
      <c r="B33" s="290" t="s">
        <v>4</v>
      </c>
      <c r="D33" s="286"/>
    </row>
    <row r="34" spans="1:4" ht="15">
      <c r="A34" s="289"/>
      <c r="B34" s="291"/>
      <c r="D34" s="286"/>
    </row>
    <row r="35" spans="1:4" ht="9" customHeight="1">
      <c r="A35" s="287" t="s">
        <v>6</v>
      </c>
      <c r="B35" s="288"/>
      <c r="D35" s="286"/>
    </row>
    <row r="36" spans="1:4" ht="15">
      <c r="A36" s="289"/>
      <c r="B36" s="290" t="s">
        <v>4</v>
      </c>
      <c r="D36" s="286"/>
    </row>
    <row r="37" spans="1:4" ht="15">
      <c r="A37" s="289" t="s">
        <v>5</v>
      </c>
      <c r="B37" s="351"/>
      <c r="D37" s="286"/>
    </row>
    <row r="38" spans="1:4" ht="11.25" customHeight="1">
      <c r="A38" s="289"/>
      <c r="B38" s="351"/>
      <c r="D38" s="286"/>
    </row>
    <row r="39" spans="1:4" ht="15">
      <c r="A39" s="289"/>
      <c r="B39" s="291"/>
      <c r="D39" s="286"/>
    </row>
  </sheetData>
  <sheetProtection/>
  <mergeCells count="10">
    <mergeCell ref="B30:C30"/>
    <mergeCell ref="A9:D9"/>
    <mergeCell ref="A10:B10"/>
    <mergeCell ref="C10:D10"/>
    <mergeCell ref="A1:D1"/>
    <mergeCell ref="A2:D2"/>
    <mergeCell ref="A3:D3"/>
    <mergeCell ref="A5:D5"/>
    <mergeCell ref="A6:D6"/>
    <mergeCell ref="A7:D7"/>
  </mergeCells>
  <printOptions/>
  <pageMargins left="0.7086614173228347" right="0.7086614173228347" top="0.7480314960629921" bottom="0.7480314960629921" header="0.31496062992125984" footer="0.31496062992125984"/>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FF0000"/>
  </sheetPr>
  <dimension ref="A1:D243"/>
  <sheetViews>
    <sheetView showZeros="0" view="pageBreakPreview" zoomScale="145" zoomScaleSheetLayoutView="145" zoomScalePageLayoutView="0" workbookViewId="0" topLeftCell="A232">
      <selection activeCell="B230" sqref="B230"/>
    </sheetView>
  </sheetViews>
  <sheetFormatPr defaultColWidth="11.421875" defaultRowHeight="15"/>
  <cols>
    <col min="1" max="1" width="8.00390625" style="286" customWidth="1"/>
    <col min="2" max="2" width="56.00390625" style="286" customWidth="1"/>
    <col min="3" max="3" width="11.57421875" style="286" customWidth="1"/>
    <col min="4" max="4" width="10.00390625" style="293" customWidth="1"/>
    <col min="5" max="16384" width="11.421875" style="254" customWidth="1"/>
  </cols>
  <sheetData>
    <row r="1" spans="1:4" s="264" customFormat="1" ht="15.75">
      <c r="A1" s="544" t="s">
        <v>1474</v>
      </c>
      <c r="B1" s="544"/>
      <c r="C1" s="544"/>
      <c r="D1" s="544"/>
    </row>
    <row r="2" spans="1:4" ht="15">
      <c r="A2" s="545" t="s">
        <v>121</v>
      </c>
      <c r="B2" s="545"/>
      <c r="C2" s="545"/>
      <c r="D2" s="545"/>
    </row>
    <row r="3" spans="1:4" ht="15">
      <c r="A3" s="546" t="s">
        <v>1452</v>
      </c>
      <c r="B3" s="546"/>
      <c r="C3" s="546"/>
      <c r="D3" s="546"/>
    </row>
    <row r="4" spans="1:4" ht="15">
      <c r="A4" s="255"/>
      <c r="B4" s="255"/>
      <c r="C4" s="255"/>
      <c r="D4" s="255"/>
    </row>
    <row r="5" spans="1:4" s="264" customFormat="1" ht="31.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
      <c r="A9" s="553"/>
      <c r="B9" s="553"/>
      <c r="C9" s="552"/>
      <c r="D9" s="552"/>
    </row>
    <row r="10" spans="1:4" ht="15">
      <c r="A10" s="352" t="s">
        <v>1475</v>
      </c>
      <c r="B10" s="307"/>
      <c r="C10" s="307"/>
      <c r="D10" s="307"/>
    </row>
    <row r="11" spans="1:4" ht="15">
      <c r="A11" s="307"/>
      <c r="B11" s="307"/>
      <c r="C11" s="307"/>
      <c r="D11" s="307"/>
    </row>
    <row r="12" spans="1:4" ht="55.5" customHeight="1">
      <c r="A12" s="309" t="s">
        <v>886</v>
      </c>
      <c r="B12" s="299" t="s">
        <v>1455</v>
      </c>
      <c r="C12" s="309" t="s">
        <v>1464</v>
      </c>
      <c r="D12" s="299" t="s">
        <v>1465</v>
      </c>
    </row>
    <row r="13" spans="1:4" ht="15">
      <c r="A13" s="299">
        <v>1</v>
      </c>
      <c r="B13" s="299">
        <v>2</v>
      </c>
      <c r="C13" s="299">
        <v>3</v>
      </c>
      <c r="D13" s="299">
        <v>4</v>
      </c>
    </row>
    <row r="14" spans="1:4" s="264" customFormat="1" ht="12.75">
      <c r="A14" s="379"/>
      <c r="B14" s="393" t="s">
        <v>94</v>
      </c>
      <c r="C14" s="385"/>
      <c r="D14" s="271"/>
    </row>
    <row r="15" spans="1:4" s="264" customFormat="1" ht="12.75">
      <c r="A15" s="379"/>
      <c r="B15" s="394" t="s">
        <v>892</v>
      </c>
      <c r="C15" s="385"/>
      <c r="D15" s="271"/>
    </row>
    <row r="16" spans="1:4" s="264" customFormat="1" ht="12.75">
      <c r="A16" s="379">
        <v>1</v>
      </c>
      <c r="B16" s="279" t="s">
        <v>95</v>
      </c>
      <c r="C16" s="270" t="s">
        <v>89</v>
      </c>
      <c r="D16" s="301">
        <f>ROUND((D17+D18)/1000,3)</f>
        <v>0.06</v>
      </c>
    </row>
    <row r="17" spans="1:4" s="264" customFormat="1" ht="12.75">
      <c r="A17" s="379"/>
      <c r="B17" s="343" t="s">
        <v>1420</v>
      </c>
      <c r="C17" s="270" t="s">
        <v>65</v>
      </c>
      <c r="D17" s="301">
        <v>57.8</v>
      </c>
    </row>
    <row r="18" spans="1:4" s="264" customFormat="1" ht="12.75">
      <c r="A18" s="379"/>
      <c r="B18" s="395" t="s">
        <v>92</v>
      </c>
      <c r="C18" s="270" t="s">
        <v>65</v>
      </c>
      <c r="D18" s="301">
        <v>2</v>
      </c>
    </row>
    <row r="19" spans="1:4" s="264" customFormat="1" ht="12.75">
      <c r="A19" s="379"/>
      <c r="B19" s="343" t="s">
        <v>893</v>
      </c>
      <c r="C19" s="270" t="s">
        <v>61</v>
      </c>
      <c r="D19" s="301">
        <v>4</v>
      </c>
    </row>
    <row r="20" spans="1:4" s="264" customFormat="1" ht="12.75">
      <c r="A20" s="379">
        <v>2</v>
      </c>
      <c r="B20" s="377" t="s">
        <v>90</v>
      </c>
      <c r="C20" s="270" t="s">
        <v>51</v>
      </c>
      <c r="D20" s="301">
        <v>2</v>
      </c>
    </row>
    <row r="21" spans="1:4" s="264" customFormat="1" ht="12.75">
      <c r="A21" s="379"/>
      <c r="B21" s="343" t="s">
        <v>62</v>
      </c>
      <c r="C21" s="270" t="s">
        <v>54</v>
      </c>
      <c r="D21" s="301">
        <f>D20*0.05</f>
        <v>0.1</v>
      </c>
    </row>
    <row r="22" spans="1:4" s="264" customFormat="1" ht="12.75">
      <c r="A22" s="379"/>
      <c r="B22" s="343" t="s">
        <v>91</v>
      </c>
      <c r="C22" s="270" t="s">
        <v>51</v>
      </c>
      <c r="D22" s="301">
        <f>3.6*1.1</f>
        <v>3.9600000000000004</v>
      </c>
    </row>
    <row r="23" spans="1:4" s="264" customFormat="1" ht="12.75">
      <c r="A23" s="379">
        <v>3</v>
      </c>
      <c r="B23" s="396" t="s">
        <v>93</v>
      </c>
      <c r="C23" s="385" t="s">
        <v>61</v>
      </c>
      <c r="D23" s="397">
        <f>D24+D25</f>
        <v>3</v>
      </c>
    </row>
    <row r="24" spans="1:4" s="264" customFormat="1" ht="12.75">
      <c r="A24" s="379"/>
      <c r="B24" s="338" t="s">
        <v>96</v>
      </c>
      <c r="C24" s="385" t="s">
        <v>61</v>
      </c>
      <c r="D24" s="361">
        <v>1</v>
      </c>
    </row>
    <row r="25" spans="1:4" s="264" customFormat="1" ht="12.75">
      <c r="A25" s="379"/>
      <c r="B25" s="338" t="s">
        <v>97</v>
      </c>
      <c r="C25" s="385" t="s">
        <v>61</v>
      </c>
      <c r="D25" s="361">
        <v>2</v>
      </c>
    </row>
    <row r="26" spans="1:4" s="264" customFormat="1" ht="12.75">
      <c r="A26" s="379">
        <v>4</v>
      </c>
      <c r="B26" s="279" t="s">
        <v>894</v>
      </c>
      <c r="C26" s="270" t="s">
        <v>89</v>
      </c>
      <c r="D26" s="301">
        <f>ROUND((D27+D28)/1000*1.1,3)</f>
        <v>0.129</v>
      </c>
    </row>
    <row r="27" spans="1:4" s="264" customFormat="1" ht="12.75">
      <c r="A27" s="379"/>
      <c r="B27" s="343" t="s">
        <v>895</v>
      </c>
      <c r="C27" s="270" t="s">
        <v>65</v>
      </c>
      <c r="D27" s="301">
        <f>ROUND(37.8*3,2)</f>
        <v>113.4</v>
      </c>
    </row>
    <row r="28" spans="1:4" s="264" customFormat="1" ht="12.75">
      <c r="A28" s="379"/>
      <c r="B28" s="395" t="s">
        <v>896</v>
      </c>
      <c r="C28" s="270" t="s">
        <v>65</v>
      </c>
      <c r="D28" s="301">
        <f>ROUND(1.3*3,2)</f>
        <v>3.9</v>
      </c>
    </row>
    <row r="29" spans="1:4" s="264" customFormat="1" ht="12.75">
      <c r="A29" s="379"/>
      <c r="B29" s="343" t="s">
        <v>897</v>
      </c>
      <c r="C29" s="270" t="s">
        <v>61</v>
      </c>
      <c r="D29" s="301">
        <f>ROUND(2*3,2)</f>
        <v>6</v>
      </c>
    </row>
    <row r="30" spans="1:4" s="264" customFormat="1" ht="12.75">
      <c r="A30" s="379">
        <v>5</v>
      </c>
      <c r="B30" s="377" t="s">
        <v>90</v>
      </c>
      <c r="C30" s="270" t="s">
        <v>51</v>
      </c>
      <c r="D30" s="301">
        <f>ROUND(1.3*3,2)</f>
        <v>3.9</v>
      </c>
    </row>
    <row r="31" spans="1:4" s="264" customFormat="1" ht="12.75">
      <c r="A31" s="379"/>
      <c r="B31" s="343" t="s">
        <v>62</v>
      </c>
      <c r="C31" s="270" t="s">
        <v>54</v>
      </c>
      <c r="D31" s="301">
        <f>D30*0.05</f>
        <v>0.195</v>
      </c>
    </row>
    <row r="32" spans="1:4" s="264" customFormat="1" ht="12.75">
      <c r="A32" s="379"/>
      <c r="B32" s="343" t="s">
        <v>91</v>
      </c>
      <c r="C32" s="270" t="s">
        <v>51</v>
      </c>
      <c r="D32" s="301">
        <f>ROUND((1.3*3)*1.1,2)</f>
        <v>4.29</v>
      </c>
    </row>
    <row r="33" spans="1:4" s="264" customFormat="1" ht="12.75">
      <c r="A33" s="379">
        <v>6</v>
      </c>
      <c r="B33" s="279" t="s">
        <v>898</v>
      </c>
      <c r="C33" s="270" t="s">
        <v>89</v>
      </c>
      <c r="D33" s="301">
        <f>ROUND((D34+D35)/1000*1.1,3)</f>
        <v>0.073</v>
      </c>
    </row>
    <row r="34" spans="1:4" s="264" customFormat="1" ht="12.75">
      <c r="A34" s="379"/>
      <c r="B34" s="343" t="s">
        <v>899</v>
      </c>
      <c r="C34" s="270" t="s">
        <v>65</v>
      </c>
      <c r="D34" s="301">
        <f>ROUND(32*2,2)</f>
        <v>64</v>
      </c>
    </row>
    <row r="35" spans="1:4" s="264" customFormat="1" ht="12.75">
      <c r="A35" s="379"/>
      <c r="B35" s="395" t="s">
        <v>896</v>
      </c>
      <c r="C35" s="270" t="s">
        <v>65</v>
      </c>
      <c r="D35" s="301">
        <f>ROUND(1.3*2,2)</f>
        <v>2.6</v>
      </c>
    </row>
    <row r="36" spans="1:4" s="264" customFormat="1" ht="12.75">
      <c r="A36" s="379"/>
      <c r="B36" s="343" t="s">
        <v>900</v>
      </c>
      <c r="C36" s="270" t="s">
        <v>61</v>
      </c>
      <c r="D36" s="301">
        <f>ROUND(2*2,2)</f>
        <v>4</v>
      </c>
    </row>
    <row r="37" spans="1:4" s="264" customFormat="1" ht="12.75">
      <c r="A37" s="379">
        <v>7</v>
      </c>
      <c r="B37" s="377" t="s">
        <v>90</v>
      </c>
      <c r="C37" s="270" t="s">
        <v>51</v>
      </c>
      <c r="D37" s="301">
        <f>ROUND(1.3*2,2)</f>
        <v>2.6</v>
      </c>
    </row>
    <row r="38" spans="1:4" s="264" customFormat="1" ht="12.75">
      <c r="A38" s="379"/>
      <c r="B38" s="343" t="s">
        <v>62</v>
      </c>
      <c r="C38" s="270" t="s">
        <v>54</v>
      </c>
      <c r="D38" s="301">
        <f>D37*0.05</f>
        <v>0.13</v>
      </c>
    </row>
    <row r="39" spans="1:4" s="264" customFormat="1" ht="12.75">
      <c r="A39" s="379"/>
      <c r="B39" s="343" t="s">
        <v>91</v>
      </c>
      <c r="C39" s="270" t="s">
        <v>51</v>
      </c>
      <c r="D39" s="301">
        <f>ROUND((1.3*2)*1.1,2)</f>
        <v>2.86</v>
      </c>
    </row>
    <row r="40" spans="1:4" s="264" customFormat="1" ht="12.75">
      <c r="A40" s="379">
        <v>8</v>
      </c>
      <c r="B40" s="279" t="s">
        <v>901</v>
      </c>
      <c r="C40" s="270" t="s">
        <v>89</v>
      </c>
      <c r="D40" s="301">
        <f>ROUND((D41+D42)/1000*1.1,3)</f>
        <v>0.099</v>
      </c>
    </row>
    <row r="41" spans="1:4" s="264" customFormat="1" ht="12.75">
      <c r="A41" s="379"/>
      <c r="B41" s="343" t="s">
        <v>902</v>
      </c>
      <c r="C41" s="270" t="s">
        <v>65</v>
      </c>
      <c r="D41" s="301">
        <f>ROUND(29*3,2)</f>
        <v>87</v>
      </c>
    </row>
    <row r="42" spans="1:4" s="264" customFormat="1" ht="12.75">
      <c r="A42" s="379"/>
      <c r="B42" s="395" t="s">
        <v>92</v>
      </c>
      <c r="C42" s="270" t="s">
        <v>65</v>
      </c>
      <c r="D42" s="301">
        <f>ROUND(1*3,2)</f>
        <v>3</v>
      </c>
    </row>
    <row r="43" spans="1:4" s="264" customFormat="1" ht="12.75">
      <c r="A43" s="379"/>
      <c r="B43" s="343" t="s">
        <v>903</v>
      </c>
      <c r="C43" s="270" t="s">
        <v>61</v>
      </c>
      <c r="D43" s="301">
        <f>ROUND(2*3,2)</f>
        <v>6</v>
      </c>
    </row>
    <row r="44" spans="1:4" s="264" customFormat="1" ht="12.75">
      <c r="A44" s="379">
        <v>9</v>
      </c>
      <c r="B44" s="377" t="s">
        <v>90</v>
      </c>
      <c r="C44" s="270" t="s">
        <v>51</v>
      </c>
      <c r="D44" s="301">
        <f>ROUND(1.3*3,2)</f>
        <v>3.9</v>
      </c>
    </row>
    <row r="45" spans="1:4" s="264" customFormat="1" ht="12.75">
      <c r="A45" s="379"/>
      <c r="B45" s="343" t="s">
        <v>62</v>
      </c>
      <c r="C45" s="270" t="s">
        <v>54</v>
      </c>
      <c r="D45" s="301">
        <f>D44*0.05</f>
        <v>0.195</v>
      </c>
    </row>
    <row r="46" spans="1:4" s="264" customFormat="1" ht="12.75">
      <c r="A46" s="379"/>
      <c r="B46" s="343" t="s">
        <v>91</v>
      </c>
      <c r="C46" s="270" t="s">
        <v>51</v>
      </c>
      <c r="D46" s="301">
        <f>ROUND((1.3*3)*1.1,2)</f>
        <v>4.29</v>
      </c>
    </row>
    <row r="47" spans="1:4" s="264" customFormat="1" ht="12.75">
      <c r="A47" s="379"/>
      <c r="B47" s="398" t="s">
        <v>904</v>
      </c>
      <c r="C47" s="385"/>
      <c r="D47" s="302"/>
    </row>
    <row r="48" spans="1:4" s="264" customFormat="1" ht="12.75">
      <c r="A48" s="379">
        <v>10</v>
      </c>
      <c r="B48" s="279" t="s">
        <v>1421</v>
      </c>
      <c r="C48" s="270" t="s">
        <v>89</v>
      </c>
      <c r="D48" s="300">
        <f>ROUND((D49+D50)/1000*1.1,3)</f>
        <v>0.06</v>
      </c>
    </row>
    <row r="49" spans="1:4" s="264" customFormat="1" ht="12.75">
      <c r="A49" s="379"/>
      <c r="B49" s="343" t="s">
        <v>99</v>
      </c>
      <c r="C49" s="270" t="s">
        <v>65</v>
      </c>
      <c r="D49" s="301">
        <f>52.8</f>
        <v>52.8</v>
      </c>
    </row>
    <row r="50" spans="1:4" s="264" customFormat="1" ht="12.75">
      <c r="A50" s="379"/>
      <c r="B50" s="395" t="s">
        <v>92</v>
      </c>
      <c r="C50" s="270" t="s">
        <v>65</v>
      </c>
      <c r="D50" s="301">
        <f>1.5</f>
        <v>1.5</v>
      </c>
    </row>
    <row r="51" spans="1:4" s="264" customFormat="1" ht="12.75">
      <c r="A51" s="379"/>
      <c r="B51" s="343" t="s">
        <v>905</v>
      </c>
      <c r="C51" s="270" t="s">
        <v>61</v>
      </c>
      <c r="D51" s="301">
        <f>3</f>
        <v>3</v>
      </c>
    </row>
    <row r="52" spans="1:4" s="264" customFormat="1" ht="12.75">
      <c r="A52" s="379">
        <v>11</v>
      </c>
      <c r="B52" s="377" t="s">
        <v>90</v>
      </c>
      <c r="C52" s="270" t="s">
        <v>51</v>
      </c>
      <c r="D52" s="301">
        <f>3</f>
        <v>3</v>
      </c>
    </row>
    <row r="53" spans="1:4" s="264" customFormat="1" ht="12.75">
      <c r="A53" s="379"/>
      <c r="B53" s="343" t="s">
        <v>62</v>
      </c>
      <c r="C53" s="270" t="s">
        <v>54</v>
      </c>
      <c r="D53" s="301">
        <f>D52*0.05</f>
        <v>0.15000000000000002</v>
      </c>
    </row>
    <row r="54" spans="1:4" s="264" customFormat="1" ht="12.75">
      <c r="A54" s="379"/>
      <c r="B54" s="343" t="s">
        <v>91</v>
      </c>
      <c r="C54" s="270" t="s">
        <v>51</v>
      </c>
      <c r="D54" s="301">
        <f>ROUND((3)*1.1,2)</f>
        <v>3.3</v>
      </c>
    </row>
    <row r="55" spans="1:4" s="264" customFormat="1" ht="12.75">
      <c r="A55" s="379">
        <v>12</v>
      </c>
      <c r="B55" s="279" t="s">
        <v>98</v>
      </c>
      <c r="C55" s="270" t="s">
        <v>89</v>
      </c>
      <c r="D55" s="301">
        <f>ROUND((D56+D57)/1000*1.1,3)</f>
        <v>0.061</v>
      </c>
    </row>
    <row r="56" spans="1:4" s="264" customFormat="1" ht="12.75">
      <c r="A56" s="379"/>
      <c r="B56" s="343" t="s">
        <v>99</v>
      </c>
      <c r="C56" s="270" t="s">
        <v>65</v>
      </c>
      <c r="D56" s="300">
        <v>52.8</v>
      </c>
    </row>
    <row r="57" spans="1:4" s="264" customFormat="1" ht="12.75">
      <c r="A57" s="379"/>
      <c r="B57" s="395" t="s">
        <v>100</v>
      </c>
      <c r="C57" s="270" t="s">
        <v>65</v>
      </c>
      <c r="D57" s="301">
        <v>2.3</v>
      </c>
    </row>
    <row r="58" spans="1:4" s="264" customFormat="1" ht="12.75">
      <c r="A58" s="379"/>
      <c r="B58" s="343" t="s">
        <v>906</v>
      </c>
      <c r="C58" s="270" t="s">
        <v>61</v>
      </c>
      <c r="D58" s="301">
        <v>3</v>
      </c>
    </row>
    <row r="59" spans="1:4" s="264" customFormat="1" ht="15" customHeight="1">
      <c r="A59" s="379">
        <v>13</v>
      </c>
      <c r="B59" s="377" t="s">
        <v>90</v>
      </c>
      <c r="C59" s="270" t="s">
        <v>51</v>
      </c>
      <c r="D59" s="301">
        <v>2.2</v>
      </c>
    </row>
    <row r="60" spans="1:4" s="264" customFormat="1" ht="12.75">
      <c r="A60" s="379"/>
      <c r="B60" s="343" t="s">
        <v>62</v>
      </c>
      <c r="C60" s="270" t="s">
        <v>54</v>
      </c>
      <c r="D60" s="301">
        <f>D59*0.05</f>
        <v>0.11000000000000001</v>
      </c>
    </row>
    <row r="61" spans="1:4" s="264" customFormat="1" ht="12.75">
      <c r="A61" s="379"/>
      <c r="B61" s="343" t="s">
        <v>91</v>
      </c>
      <c r="C61" s="270" t="s">
        <v>51</v>
      </c>
      <c r="D61" s="301">
        <f>3.1*1.1</f>
        <v>3.4100000000000006</v>
      </c>
    </row>
    <row r="62" spans="1:4" s="264" customFormat="1" ht="12.75">
      <c r="A62" s="379">
        <v>14</v>
      </c>
      <c r="B62" s="279" t="s">
        <v>101</v>
      </c>
      <c r="C62" s="270" t="s">
        <v>89</v>
      </c>
      <c r="D62" s="300">
        <f>ROUND((D63+D64+D65+D66)/1000*1.1,3)</f>
        <v>0.098</v>
      </c>
    </row>
    <row r="63" spans="1:4" s="264" customFormat="1" ht="12.75">
      <c r="A63" s="379"/>
      <c r="B63" s="343" t="s">
        <v>99</v>
      </c>
      <c r="C63" s="270" t="s">
        <v>65</v>
      </c>
      <c r="D63" s="301">
        <v>52.8</v>
      </c>
    </row>
    <row r="64" spans="1:4" s="264" customFormat="1" ht="12.75">
      <c r="A64" s="379"/>
      <c r="B64" s="395" t="s">
        <v>100</v>
      </c>
      <c r="C64" s="270" t="s">
        <v>65</v>
      </c>
      <c r="D64" s="301">
        <v>4.6</v>
      </c>
    </row>
    <row r="65" spans="1:4" s="264" customFormat="1" ht="12.75">
      <c r="A65" s="379"/>
      <c r="B65" s="395" t="s">
        <v>104</v>
      </c>
      <c r="C65" s="270" t="s">
        <v>65</v>
      </c>
      <c r="D65" s="301">
        <v>20.6</v>
      </c>
    </row>
    <row r="66" spans="1:4" s="264" customFormat="1" ht="12.75">
      <c r="A66" s="379"/>
      <c r="B66" s="395" t="s">
        <v>105</v>
      </c>
      <c r="C66" s="270" t="s">
        <v>65</v>
      </c>
      <c r="D66" s="301">
        <v>11.4</v>
      </c>
    </row>
    <row r="67" spans="1:4" s="264" customFormat="1" ht="12.75">
      <c r="A67" s="379"/>
      <c r="B67" s="343" t="s">
        <v>906</v>
      </c>
      <c r="C67" s="270" t="s">
        <v>61</v>
      </c>
      <c r="D67" s="301">
        <v>3</v>
      </c>
    </row>
    <row r="68" spans="1:4" s="264" customFormat="1" ht="12.75">
      <c r="A68" s="379">
        <v>15</v>
      </c>
      <c r="B68" s="377" t="s">
        <v>90</v>
      </c>
      <c r="C68" s="270" t="s">
        <v>51</v>
      </c>
      <c r="D68" s="301">
        <v>3</v>
      </c>
    </row>
    <row r="69" spans="1:4" s="264" customFormat="1" ht="12.75">
      <c r="A69" s="379"/>
      <c r="B69" s="343" t="s">
        <v>62</v>
      </c>
      <c r="C69" s="270" t="s">
        <v>54</v>
      </c>
      <c r="D69" s="301">
        <f>D68*0.05</f>
        <v>0.15000000000000002</v>
      </c>
    </row>
    <row r="70" spans="1:4" s="264" customFormat="1" ht="12.75">
      <c r="A70" s="379"/>
      <c r="B70" s="343" t="s">
        <v>91</v>
      </c>
      <c r="C70" s="270" t="s">
        <v>51</v>
      </c>
      <c r="D70" s="301">
        <f>3.6*1.1</f>
        <v>3.9600000000000004</v>
      </c>
    </row>
    <row r="71" spans="1:4" s="264" customFormat="1" ht="12.75">
      <c r="A71" s="379">
        <v>16</v>
      </c>
      <c r="B71" s="279" t="s">
        <v>106</v>
      </c>
      <c r="C71" s="270" t="s">
        <v>89</v>
      </c>
      <c r="D71" s="300">
        <f>ROUND((D72+D73+D74+D75)/1000*1.1,3)</f>
        <v>0.159</v>
      </c>
    </row>
    <row r="72" spans="1:4" s="264" customFormat="1" ht="12.75">
      <c r="A72" s="379"/>
      <c r="B72" s="343" t="s">
        <v>1285</v>
      </c>
      <c r="C72" s="270" t="s">
        <v>65</v>
      </c>
      <c r="D72" s="301">
        <v>86.8</v>
      </c>
    </row>
    <row r="73" spans="1:4" s="264" customFormat="1" ht="12.75">
      <c r="A73" s="379"/>
      <c r="B73" s="395" t="s">
        <v>92</v>
      </c>
      <c r="C73" s="270" t="s">
        <v>65</v>
      </c>
      <c r="D73" s="301">
        <v>6</v>
      </c>
    </row>
    <row r="74" spans="1:4" s="264" customFormat="1" ht="12.75">
      <c r="A74" s="379"/>
      <c r="B74" s="395" t="s">
        <v>103</v>
      </c>
      <c r="C74" s="270" t="s">
        <v>65</v>
      </c>
      <c r="D74" s="301">
        <v>34.2</v>
      </c>
    </row>
    <row r="75" spans="1:4" s="264" customFormat="1" ht="12.75">
      <c r="A75" s="379"/>
      <c r="B75" s="395" t="s">
        <v>102</v>
      </c>
      <c r="C75" s="270" t="s">
        <v>65</v>
      </c>
      <c r="D75" s="301">
        <v>17.2</v>
      </c>
    </row>
    <row r="76" spans="1:4" s="264" customFormat="1" ht="12.75">
      <c r="A76" s="379"/>
      <c r="B76" s="343" t="s">
        <v>905</v>
      </c>
      <c r="C76" s="270" t="s">
        <v>61</v>
      </c>
      <c r="D76" s="301">
        <v>6</v>
      </c>
    </row>
    <row r="77" spans="1:4" s="264" customFormat="1" ht="12.75">
      <c r="A77" s="379">
        <v>17</v>
      </c>
      <c r="B77" s="377" t="s">
        <v>90</v>
      </c>
      <c r="C77" s="270" t="s">
        <v>51</v>
      </c>
      <c r="D77" s="301">
        <v>6.2</v>
      </c>
    </row>
    <row r="78" spans="1:4" s="264" customFormat="1" ht="12.75">
      <c r="A78" s="379"/>
      <c r="B78" s="343" t="s">
        <v>62</v>
      </c>
      <c r="C78" s="270" t="s">
        <v>54</v>
      </c>
      <c r="D78" s="301">
        <f>D77*0.05</f>
        <v>0.31000000000000005</v>
      </c>
    </row>
    <row r="79" spans="1:4" s="264" customFormat="1" ht="12.75">
      <c r="A79" s="379"/>
      <c r="B79" s="343" t="s">
        <v>91</v>
      </c>
      <c r="C79" s="270" t="s">
        <v>51</v>
      </c>
      <c r="D79" s="301">
        <f>7.2*1.1</f>
        <v>7.920000000000001</v>
      </c>
    </row>
    <row r="80" spans="1:4" s="264" customFormat="1" ht="12.75">
      <c r="A80" s="379">
        <v>18</v>
      </c>
      <c r="B80" s="399" t="s">
        <v>107</v>
      </c>
      <c r="C80" s="385" t="s">
        <v>61</v>
      </c>
      <c r="D80" s="301">
        <f>D81</f>
        <v>9</v>
      </c>
    </row>
    <row r="81" spans="1:4" s="264" customFormat="1" ht="12.75">
      <c r="A81" s="379"/>
      <c r="B81" s="343" t="s">
        <v>108</v>
      </c>
      <c r="C81" s="385" t="s">
        <v>61</v>
      </c>
      <c r="D81" s="301">
        <v>9</v>
      </c>
    </row>
    <row r="82" spans="1:4" s="264" customFormat="1" ht="25.5" customHeight="1">
      <c r="A82" s="379">
        <v>19</v>
      </c>
      <c r="B82" s="279" t="s">
        <v>907</v>
      </c>
      <c r="C82" s="270" t="s">
        <v>89</v>
      </c>
      <c r="D82" s="301">
        <f>ROUND((D83+D84)/1000*1.1,3)</f>
        <v>0.11</v>
      </c>
    </row>
    <row r="83" spans="1:4" s="264" customFormat="1" ht="15" customHeight="1">
      <c r="A83" s="379"/>
      <c r="B83" s="343" t="s">
        <v>899</v>
      </c>
      <c r="C83" s="270" t="s">
        <v>65</v>
      </c>
      <c r="D83" s="301">
        <f>ROUND(32*3,2)</f>
        <v>96</v>
      </c>
    </row>
    <row r="84" spans="1:4" s="264" customFormat="1" ht="12" customHeight="1">
      <c r="A84" s="379"/>
      <c r="B84" s="395" t="s">
        <v>896</v>
      </c>
      <c r="C84" s="270" t="s">
        <v>65</v>
      </c>
      <c r="D84" s="301">
        <f>ROUND(1.3*3,2)</f>
        <v>3.9</v>
      </c>
    </row>
    <row r="85" spans="1:4" s="264" customFormat="1" ht="12.75">
      <c r="A85" s="379"/>
      <c r="B85" s="343" t="s">
        <v>900</v>
      </c>
      <c r="C85" s="270" t="s">
        <v>61</v>
      </c>
      <c r="D85" s="301">
        <f>ROUND(2*3,2)</f>
        <v>6</v>
      </c>
    </row>
    <row r="86" spans="1:4" s="264" customFormat="1" ht="12.75">
      <c r="A86" s="379">
        <v>20</v>
      </c>
      <c r="B86" s="377" t="s">
        <v>90</v>
      </c>
      <c r="C86" s="270" t="s">
        <v>51</v>
      </c>
      <c r="D86" s="301">
        <f>ROUND(1.8*3,2)</f>
        <v>5.4</v>
      </c>
    </row>
    <row r="87" spans="1:4" s="264" customFormat="1" ht="12.75">
      <c r="A87" s="379"/>
      <c r="B87" s="343" t="s">
        <v>62</v>
      </c>
      <c r="C87" s="270" t="s">
        <v>54</v>
      </c>
      <c r="D87" s="301">
        <f>D86*0.05</f>
        <v>0.27</v>
      </c>
    </row>
    <row r="88" spans="1:4" s="264" customFormat="1" ht="12.75">
      <c r="A88" s="379"/>
      <c r="B88" s="343" t="s">
        <v>91</v>
      </c>
      <c r="C88" s="270" t="s">
        <v>51</v>
      </c>
      <c r="D88" s="301">
        <f>ROUND((1.8*3)*1.1,2)</f>
        <v>5.94</v>
      </c>
    </row>
    <row r="89" spans="1:4" s="264" customFormat="1" ht="12.75">
      <c r="A89" s="379">
        <v>21</v>
      </c>
      <c r="B89" s="279" t="s">
        <v>908</v>
      </c>
      <c r="C89" s="270" t="s">
        <v>89</v>
      </c>
      <c r="D89" s="300">
        <f>ROUND((D90+D91)/1000*1.1,3)</f>
        <v>0.04</v>
      </c>
    </row>
    <row r="90" spans="1:4" s="264" customFormat="1" ht="14.25" customHeight="1">
      <c r="A90" s="379"/>
      <c r="B90" s="343" t="s">
        <v>909</v>
      </c>
      <c r="C90" s="270" t="s">
        <v>65</v>
      </c>
      <c r="D90" s="301">
        <v>34.8</v>
      </c>
    </row>
    <row r="91" spans="1:4" s="264" customFormat="1" ht="12.75">
      <c r="A91" s="379"/>
      <c r="B91" s="395" t="s">
        <v>896</v>
      </c>
      <c r="C91" s="270" t="s">
        <v>65</v>
      </c>
      <c r="D91" s="301">
        <v>1.3</v>
      </c>
    </row>
    <row r="92" spans="1:4" s="264" customFormat="1" ht="12.75">
      <c r="A92" s="379"/>
      <c r="B92" s="343" t="s">
        <v>900</v>
      </c>
      <c r="C92" s="270" t="s">
        <v>61</v>
      </c>
      <c r="D92" s="301">
        <v>2</v>
      </c>
    </row>
    <row r="93" spans="1:4" s="264" customFormat="1" ht="12.75">
      <c r="A93" s="379">
        <v>22</v>
      </c>
      <c r="B93" s="377" t="s">
        <v>90</v>
      </c>
      <c r="C93" s="270" t="s">
        <v>51</v>
      </c>
      <c r="D93" s="301">
        <v>1.8</v>
      </c>
    </row>
    <row r="94" spans="1:4" s="264" customFormat="1" ht="12.75">
      <c r="A94" s="379"/>
      <c r="B94" s="343" t="s">
        <v>62</v>
      </c>
      <c r="C94" s="270" t="s">
        <v>54</v>
      </c>
      <c r="D94" s="301">
        <f>D93*0.05</f>
        <v>0.09000000000000001</v>
      </c>
    </row>
    <row r="95" spans="1:4" s="264" customFormat="1" ht="12.75">
      <c r="A95" s="379"/>
      <c r="B95" s="343" t="s">
        <v>91</v>
      </c>
      <c r="C95" s="270" t="s">
        <v>51</v>
      </c>
      <c r="D95" s="301">
        <f>1.8*1.1</f>
        <v>1.9800000000000002</v>
      </c>
    </row>
    <row r="96" spans="1:4" s="264" customFormat="1" ht="12.75">
      <c r="A96" s="379">
        <v>23</v>
      </c>
      <c r="B96" s="279" t="s">
        <v>910</v>
      </c>
      <c r="C96" s="270" t="s">
        <v>89</v>
      </c>
      <c r="D96" s="301">
        <f>ROUND((D97+D98)/1000*1.1,3)</f>
        <v>0.181</v>
      </c>
    </row>
    <row r="97" spans="1:4" s="264" customFormat="1" ht="12.75">
      <c r="A97" s="379"/>
      <c r="B97" s="343" t="s">
        <v>911</v>
      </c>
      <c r="C97" s="270" t="s">
        <v>65</v>
      </c>
      <c r="D97" s="301">
        <f>ROUND(52.8*3,2)</f>
        <v>158.4</v>
      </c>
    </row>
    <row r="98" spans="1:4" s="264" customFormat="1" ht="12.75">
      <c r="A98" s="379"/>
      <c r="B98" s="395" t="s">
        <v>896</v>
      </c>
      <c r="C98" s="270" t="s">
        <v>65</v>
      </c>
      <c r="D98" s="301">
        <f>ROUND(1.9*3,2)</f>
        <v>5.7</v>
      </c>
    </row>
    <row r="99" spans="1:4" s="264" customFormat="1" ht="12.75">
      <c r="A99" s="379"/>
      <c r="B99" s="343" t="s">
        <v>900</v>
      </c>
      <c r="C99" s="270" t="s">
        <v>61</v>
      </c>
      <c r="D99" s="301">
        <f>ROUND(3*3,2)</f>
        <v>9</v>
      </c>
    </row>
    <row r="100" spans="1:4" s="264" customFormat="1" ht="12.75">
      <c r="A100" s="379">
        <v>24</v>
      </c>
      <c r="B100" s="377" t="s">
        <v>90</v>
      </c>
      <c r="C100" s="270" t="s">
        <v>51</v>
      </c>
      <c r="D100" s="301">
        <f>ROUND(2*3,2)</f>
        <v>6</v>
      </c>
    </row>
    <row r="101" spans="1:4" s="264" customFormat="1" ht="12.75">
      <c r="A101" s="379"/>
      <c r="B101" s="343" t="s">
        <v>62</v>
      </c>
      <c r="C101" s="270" t="s">
        <v>54</v>
      </c>
      <c r="D101" s="301">
        <f>D100*0.05</f>
        <v>0.30000000000000004</v>
      </c>
    </row>
    <row r="102" spans="1:4" s="264" customFormat="1" ht="12.75">
      <c r="A102" s="379"/>
      <c r="B102" s="343" t="s">
        <v>91</v>
      </c>
      <c r="C102" s="270" t="s">
        <v>51</v>
      </c>
      <c r="D102" s="301">
        <f>ROUND((2*3)*1.1,2)</f>
        <v>6.6</v>
      </c>
    </row>
    <row r="103" spans="1:4" s="264" customFormat="1" ht="12.75">
      <c r="A103" s="379">
        <v>25</v>
      </c>
      <c r="B103" s="279" t="s">
        <v>912</v>
      </c>
      <c r="C103" s="270" t="s">
        <v>89</v>
      </c>
      <c r="D103" s="300">
        <f>ROUND((D104+D105)/1000*1.1,3)</f>
        <v>0.076</v>
      </c>
    </row>
    <row r="104" spans="1:4" s="264" customFormat="1" ht="12.75">
      <c r="A104" s="379"/>
      <c r="B104" s="343" t="s">
        <v>913</v>
      </c>
      <c r="C104" s="270" t="s">
        <v>65</v>
      </c>
      <c r="D104" s="301">
        <v>68</v>
      </c>
    </row>
    <row r="105" spans="1:4" s="264" customFormat="1" ht="12" customHeight="1">
      <c r="A105" s="379"/>
      <c r="B105" s="395" t="s">
        <v>92</v>
      </c>
      <c r="C105" s="270" t="s">
        <v>65</v>
      </c>
      <c r="D105" s="301">
        <v>1</v>
      </c>
    </row>
    <row r="106" spans="1:4" s="264" customFormat="1" ht="12.75">
      <c r="A106" s="379"/>
      <c r="B106" s="343" t="s">
        <v>903</v>
      </c>
      <c r="C106" s="270" t="s">
        <v>61</v>
      </c>
      <c r="D106" s="301">
        <v>2</v>
      </c>
    </row>
    <row r="107" spans="1:4" s="264" customFormat="1" ht="12.75">
      <c r="A107" s="379">
        <v>26</v>
      </c>
      <c r="B107" s="377" t="s">
        <v>90</v>
      </c>
      <c r="C107" s="270" t="s">
        <v>51</v>
      </c>
      <c r="D107" s="301">
        <v>2</v>
      </c>
    </row>
    <row r="108" spans="1:4" s="264" customFormat="1" ht="12.75">
      <c r="A108" s="379"/>
      <c r="B108" s="343" t="s">
        <v>62</v>
      </c>
      <c r="C108" s="270" t="s">
        <v>54</v>
      </c>
      <c r="D108" s="301">
        <f>D107*0.05</f>
        <v>0.1</v>
      </c>
    </row>
    <row r="109" spans="1:4" s="264" customFormat="1" ht="12.75">
      <c r="A109" s="379"/>
      <c r="B109" s="343" t="s">
        <v>91</v>
      </c>
      <c r="C109" s="270" t="s">
        <v>51</v>
      </c>
      <c r="D109" s="301">
        <f>2*1.1</f>
        <v>2.2</v>
      </c>
    </row>
    <row r="110" spans="1:4" s="264" customFormat="1" ht="12.75">
      <c r="A110" s="379"/>
      <c r="B110" s="398" t="s">
        <v>914</v>
      </c>
      <c r="C110" s="270"/>
      <c r="D110" s="301"/>
    </row>
    <row r="111" spans="1:4" s="264" customFormat="1" ht="12.75">
      <c r="A111" s="379">
        <v>27</v>
      </c>
      <c r="B111" s="279" t="s">
        <v>915</v>
      </c>
      <c r="C111" s="270" t="s">
        <v>89</v>
      </c>
      <c r="D111" s="301">
        <f>ROUND((D112+D113)/1000*1.1,3)</f>
        <v>0.037</v>
      </c>
    </row>
    <row r="112" spans="1:4" s="264" customFormat="1" ht="12.75">
      <c r="A112" s="379"/>
      <c r="B112" s="343" t="s">
        <v>899</v>
      </c>
      <c r="C112" s="270" t="s">
        <v>65</v>
      </c>
      <c r="D112" s="301">
        <v>32</v>
      </c>
    </row>
    <row r="113" spans="1:4" s="264" customFormat="1" ht="12.75">
      <c r="A113" s="379"/>
      <c r="B113" s="395" t="s">
        <v>896</v>
      </c>
      <c r="C113" s="270" t="s">
        <v>65</v>
      </c>
      <c r="D113" s="301">
        <v>1.3</v>
      </c>
    </row>
    <row r="114" spans="1:4" s="264" customFormat="1" ht="12.75">
      <c r="A114" s="379"/>
      <c r="B114" s="343" t="s">
        <v>900</v>
      </c>
      <c r="C114" s="270" t="s">
        <v>61</v>
      </c>
      <c r="D114" s="301">
        <v>2</v>
      </c>
    </row>
    <row r="115" spans="1:4" s="264" customFormat="1" ht="12.75">
      <c r="A115" s="379">
        <v>28</v>
      </c>
      <c r="B115" s="377" t="s">
        <v>90</v>
      </c>
      <c r="C115" s="270" t="s">
        <v>51</v>
      </c>
      <c r="D115" s="301">
        <v>1.8</v>
      </c>
    </row>
    <row r="116" spans="1:4" s="264" customFormat="1" ht="12.75">
      <c r="A116" s="379"/>
      <c r="B116" s="343" t="s">
        <v>62</v>
      </c>
      <c r="C116" s="270" t="s">
        <v>54</v>
      </c>
      <c r="D116" s="301">
        <f>D115*0.05</f>
        <v>0.09000000000000001</v>
      </c>
    </row>
    <row r="117" spans="1:4" s="264" customFormat="1" ht="12.75">
      <c r="A117" s="379"/>
      <c r="B117" s="343" t="s">
        <v>91</v>
      </c>
      <c r="C117" s="270" t="s">
        <v>51</v>
      </c>
      <c r="D117" s="301">
        <f>ROUND(1.8*1.1,2)</f>
        <v>1.98</v>
      </c>
    </row>
    <row r="118" spans="1:4" s="264" customFormat="1" ht="12.75">
      <c r="A118" s="379">
        <v>29</v>
      </c>
      <c r="B118" s="279" t="s">
        <v>916</v>
      </c>
      <c r="C118" s="270" t="s">
        <v>89</v>
      </c>
      <c r="D118" s="301">
        <f>ROUND((D119+D120)/1000*1.1,3)</f>
        <v>0.079</v>
      </c>
    </row>
    <row r="119" spans="1:4" s="264" customFormat="1" ht="12.75">
      <c r="A119" s="379"/>
      <c r="B119" s="343" t="s">
        <v>909</v>
      </c>
      <c r="C119" s="270" t="s">
        <v>65</v>
      </c>
      <c r="D119" s="301">
        <f>ROUND(34.8*2,2)</f>
        <v>69.6</v>
      </c>
    </row>
    <row r="120" spans="1:4" s="264" customFormat="1" ht="12.75">
      <c r="A120" s="379"/>
      <c r="B120" s="395" t="s">
        <v>896</v>
      </c>
      <c r="C120" s="270" t="s">
        <v>65</v>
      </c>
      <c r="D120" s="301">
        <f>ROUND(1*2,2)</f>
        <v>2</v>
      </c>
    </row>
    <row r="121" spans="1:4" s="264" customFormat="1" ht="12.75">
      <c r="A121" s="379"/>
      <c r="B121" s="343" t="s">
        <v>900</v>
      </c>
      <c r="C121" s="270" t="s">
        <v>61</v>
      </c>
      <c r="D121" s="301">
        <f>ROUND(2*2,2)</f>
        <v>4</v>
      </c>
    </row>
    <row r="122" spans="1:4" s="264" customFormat="1" ht="12.75">
      <c r="A122" s="379">
        <v>30</v>
      </c>
      <c r="B122" s="377" t="s">
        <v>90</v>
      </c>
      <c r="C122" s="270" t="s">
        <v>51</v>
      </c>
      <c r="D122" s="301">
        <f>ROUND(1.8*2,2)</f>
        <v>3.6</v>
      </c>
    </row>
    <row r="123" spans="1:4" s="264" customFormat="1" ht="12.75">
      <c r="A123" s="379"/>
      <c r="B123" s="343" t="s">
        <v>62</v>
      </c>
      <c r="C123" s="270" t="s">
        <v>54</v>
      </c>
      <c r="D123" s="301">
        <f>D122*0.05</f>
        <v>0.18000000000000002</v>
      </c>
    </row>
    <row r="124" spans="1:4" s="264" customFormat="1" ht="12.75">
      <c r="A124" s="379"/>
      <c r="B124" s="343" t="s">
        <v>91</v>
      </c>
      <c r="C124" s="270" t="s">
        <v>51</v>
      </c>
      <c r="D124" s="301">
        <f>ROUND((1.8*2)*1.1,2)</f>
        <v>3.96</v>
      </c>
    </row>
    <row r="125" spans="1:4" s="264" customFormat="1" ht="12.75">
      <c r="A125" s="379">
        <v>31</v>
      </c>
      <c r="B125" s="279" t="s">
        <v>917</v>
      </c>
      <c r="C125" s="270" t="s">
        <v>89</v>
      </c>
      <c r="D125" s="301">
        <f>ROUND((D126+D127)/1000*1.1,3)</f>
        <v>0.06</v>
      </c>
    </row>
    <row r="126" spans="1:4" s="264" customFormat="1" ht="12.75">
      <c r="A126" s="379"/>
      <c r="B126" s="343" t="s">
        <v>911</v>
      </c>
      <c r="C126" s="270" t="s">
        <v>65</v>
      </c>
      <c r="D126" s="301">
        <v>52.8</v>
      </c>
    </row>
    <row r="127" spans="1:4" s="264" customFormat="1" ht="12.75">
      <c r="A127" s="379"/>
      <c r="B127" s="395" t="s">
        <v>896</v>
      </c>
      <c r="C127" s="270" t="s">
        <v>65</v>
      </c>
      <c r="D127" s="301">
        <v>1.9</v>
      </c>
    </row>
    <row r="128" spans="1:4" s="264" customFormat="1" ht="12.75">
      <c r="A128" s="379"/>
      <c r="B128" s="343" t="s">
        <v>900</v>
      </c>
      <c r="C128" s="270" t="s">
        <v>61</v>
      </c>
      <c r="D128" s="301">
        <v>3</v>
      </c>
    </row>
    <row r="129" spans="1:4" s="264" customFormat="1" ht="12.75">
      <c r="A129" s="379">
        <v>32</v>
      </c>
      <c r="B129" s="377" t="s">
        <v>90</v>
      </c>
      <c r="C129" s="270" t="s">
        <v>51</v>
      </c>
      <c r="D129" s="301">
        <v>2</v>
      </c>
    </row>
    <row r="130" spans="1:4" s="264" customFormat="1" ht="12.75">
      <c r="A130" s="379"/>
      <c r="B130" s="343" t="s">
        <v>62</v>
      </c>
      <c r="C130" s="270" t="s">
        <v>54</v>
      </c>
      <c r="D130" s="301">
        <f>D129*0.05</f>
        <v>0.1</v>
      </c>
    </row>
    <row r="131" spans="1:4" s="264" customFormat="1" ht="12.75">
      <c r="A131" s="379"/>
      <c r="B131" s="343" t="s">
        <v>91</v>
      </c>
      <c r="C131" s="270" t="s">
        <v>51</v>
      </c>
      <c r="D131" s="301">
        <f>ROUND(2*1.1,2)</f>
        <v>2.2</v>
      </c>
    </row>
    <row r="132" spans="1:4" s="264" customFormat="1" ht="12.75">
      <c r="A132" s="379">
        <v>33</v>
      </c>
      <c r="B132" s="279" t="s">
        <v>918</v>
      </c>
      <c r="C132" s="270" t="s">
        <v>89</v>
      </c>
      <c r="D132" s="301">
        <f>ROUND((D133+D134)/1000*1.1,3)</f>
        <v>0.039</v>
      </c>
    </row>
    <row r="133" spans="1:4" s="264" customFormat="1" ht="12.75">
      <c r="A133" s="379"/>
      <c r="B133" s="343" t="s">
        <v>909</v>
      </c>
      <c r="C133" s="270" t="s">
        <v>65</v>
      </c>
      <c r="D133" s="301">
        <v>34.8</v>
      </c>
    </row>
    <row r="134" spans="1:4" s="264" customFormat="1" ht="12.75">
      <c r="A134" s="379"/>
      <c r="B134" s="395" t="s">
        <v>92</v>
      </c>
      <c r="C134" s="270" t="s">
        <v>65</v>
      </c>
      <c r="D134" s="301">
        <v>1</v>
      </c>
    </row>
    <row r="135" spans="1:4" s="264" customFormat="1" ht="12.75">
      <c r="A135" s="379"/>
      <c r="B135" s="343" t="s">
        <v>903</v>
      </c>
      <c r="C135" s="270" t="s">
        <v>61</v>
      </c>
      <c r="D135" s="301">
        <v>2</v>
      </c>
    </row>
    <row r="136" spans="1:4" s="264" customFormat="1" ht="12.75">
      <c r="A136" s="379">
        <v>34</v>
      </c>
      <c r="B136" s="377" t="s">
        <v>90</v>
      </c>
      <c r="C136" s="270" t="s">
        <v>51</v>
      </c>
      <c r="D136" s="301">
        <v>2</v>
      </c>
    </row>
    <row r="137" spans="1:4" s="264" customFormat="1" ht="12.75">
      <c r="A137" s="379"/>
      <c r="B137" s="343" t="s">
        <v>62</v>
      </c>
      <c r="C137" s="270" t="s">
        <v>54</v>
      </c>
      <c r="D137" s="301">
        <f>D136*0.05</f>
        <v>0.1</v>
      </c>
    </row>
    <row r="138" spans="1:4" s="264" customFormat="1" ht="12.75">
      <c r="A138" s="379"/>
      <c r="B138" s="343" t="s">
        <v>91</v>
      </c>
      <c r="C138" s="270" t="s">
        <v>51</v>
      </c>
      <c r="D138" s="301">
        <f>ROUND(2*1.1,2)</f>
        <v>2.2</v>
      </c>
    </row>
    <row r="139" spans="1:4" s="264" customFormat="1" ht="12.75">
      <c r="A139" s="379"/>
      <c r="B139" s="398" t="s">
        <v>919</v>
      </c>
      <c r="C139" s="270"/>
      <c r="D139" s="301"/>
    </row>
    <row r="140" spans="1:4" s="264" customFormat="1" ht="12.75">
      <c r="A140" s="379">
        <v>35</v>
      </c>
      <c r="B140" s="279" t="s">
        <v>109</v>
      </c>
      <c r="C140" s="270" t="s">
        <v>89</v>
      </c>
      <c r="D140" s="300">
        <f>ROUND((D141+D142)/1000*1.1,3)</f>
        <v>0.103</v>
      </c>
    </row>
    <row r="141" spans="1:4" s="264" customFormat="1" ht="12.75">
      <c r="A141" s="379"/>
      <c r="B141" s="343" t="s">
        <v>1422</v>
      </c>
      <c r="C141" s="270" t="s">
        <v>65</v>
      </c>
      <c r="D141" s="301">
        <v>91.8</v>
      </c>
    </row>
    <row r="142" spans="1:4" s="264" customFormat="1" ht="12.75">
      <c r="A142" s="379"/>
      <c r="B142" s="395" t="s">
        <v>92</v>
      </c>
      <c r="C142" s="270" t="s">
        <v>65</v>
      </c>
      <c r="D142" s="301">
        <v>1.5</v>
      </c>
    </row>
    <row r="143" spans="1:4" s="264" customFormat="1" ht="12.75">
      <c r="A143" s="379"/>
      <c r="B143" s="343" t="s">
        <v>903</v>
      </c>
      <c r="C143" s="270" t="s">
        <v>61</v>
      </c>
      <c r="D143" s="301">
        <v>4</v>
      </c>
    </row>
    <row r="144" spans="1:4" s="264" customFormat="1" ht="12.75">
      <c r="A144" s="379">
        <v>36</v>
      </c>
      <c r="B144" s="377" t="s">
        <v>90</v>
      </c>
      <c r="C144" s="270" t="s">
        <v>51</v>
      </c>
      <c r="D144" s="300">
        <v>2</v>
      </c>
    </row>
    <row r="145" spans="1:4" s="264" customFormat="1" ht="12.75">
      <c r="A145" s="379"/>
      <c r="B145" s="343" t="s">
        <v>62</v>
      </c>
      <c r="C145" s="270" t="s">
        <v>54</v>
      </c>
      <c r="D145" s="301">
        <f>D144*0.05</f>
        <v>0.1</v>
      </c>
    </row>
    <row r="146" spans="1:4" s="264" customFormat="1" ht="12.75">
      <c r="A146" s="379"/>
      <c r="B146" s="343" t="s">
        <v>91</v>
      </c>
      <c r="C146" s="270" t="s">
        <v>51</v>
      </c>
      <c r="D146" s="301">
        <f>3*1.1</f>
        <v>3.3000000000000003</v>
      </c>
    </row>
    <row r="147" spans="1:4" s="264" customFormat="1" ht="12.75">
      <c r="A147" s="379">
        <v>37</v>
      </c>
      <c r="B147" s="279" t="s">
        <v>110</v>
      </c>
      <c r="C147" s="270" t="s">
        <v>89</v>
      </c>
      <c r="D147" s="300">
        <f>ROUND((D148+D149)/1000*1.1,3)</f>
        <v>0.092</v>
      </c>
    </row>
    <row r="148" spans="1:4" s="264" customFormat="1" ht="12.75">
      <c r="A148" s="379"/>
      <c r="B148" s="395" t="s">
        <v>111</v>
      </c>
      <c r="C148" s="270" t="s">
        <v>65</v>
      </c>
      <c r="D148" s="301">
        <v>81</v>
      </c>
    </row>
    <row r="149" spans="1:4" s="264" customFormat="1" ht="12.75">
      <c r="A149" s="379"/>
      <c r="B149" s="395" t="s">
        <v>112</v>
      </c>
      <c r="C149" s="270" t="s">
        <v>65</v>
      </c>
      <c r="D149" s="301">
        <v>3</v>
      </c>
    </row>
    <row r="150" spans="1:4" s="264" customFormat="1" ht="12.75">
      <c r="A150" s="379">
        <v>38</v>
      </c>
      <c r="B150" s="377" t="s">
        <v>90</v>
      </c>
      <c r="C150" s="270" t="s">
        <v>51</v>
      </c>
      <c r="D150" s="301">
        <v>3.3</v>
      </c>
    </row>
    <row r="151" spans="1:4" s="264" customFormat="1" ht="12.75">
      <c r="A151" s="379"/>
      <c r="B151" s="343" t="s">
        <v>62</v>
      </c>
      <c r="C151" s="270" t="s">
        <v>54</v>
      </c>
      <c r="D151" s="301">
        <f>D150*0.05</f>
        <v>0.165</v>
      </c>
    </row>
    <row r="152" spans="1:4" s="264" customFormat="1" ht="12.75">
      <c r="A152" s="379"/>
      <c r="B152" s="343" t="s">
        <v>91</v>
      </c>
      <c r="C152" s="270" t="s">
        <v>51</v>
      </c>
      <c r="D152" s="301">
        <f>3.3*1.1</f>
        <v>3.63</v>
      </c>
    </row>
    <row r="153" spans="1:4" s="264" customFormat="1" ht="12.75">
      <c r="A153" s="379">
        <v>39</v>
      </c>
      <c r="B153" s="396" t="s">
        <v>113</v>
      </c>
      <c r="C153" s="385" t="s">
        <v>61</v>
      </c>
      <c r="D153" s="397">
        <f>D154</f>
        <v>1</v>
      </c>
    </row>
    <row r="154" spans="1:4" s="264" customFormat="1" ht="12.75">
      <c r="A154" s="379"/>
      <c r="B154" s="338" t="s">
        <v>108</v>
      </c>
      <c r="C154" s="385" t="s">
        <v>61</v>
      </c>
      <c r="D154" s="361">
        <v>1</v>
      </c>
    </row>
    <row r="155" spans="1:4" s="264" customFormat="1" ht="12.75">
      <c r="A155" s="379">
        <v>40</v>
      </c>
      <c r="B155" s="279" t="s">
        <v>920</v>
      </c>
      <c r="C155" s="270" t="s">
        <v>89</v>
      </c>
      <c r="D155" s="301">
        <f>ROUND((D156+D157)/1000*1.1,3)</f>
        <v>0.04</v>
      </c>
    </row>
    <row r="156" spans="1:4" s="264" customFormat="1" ht="12.75">
      <c r="A156" s="379"/>
      <c r="B156" s="343" t="s">
        <v>909</v>
      </c>
      <c r="C156" s="270" t="s">
        <v>65</v>
      </c>
      <c r="D156" s="301">
        <v>34.8</v>
      </c>
    </row>
    <row r="157" spans="1:4" s="264" customFormat="1" ht="12.75">
      <c r="A157" s="379"/>
      <c r="B157" s="395" t="s">
        <v>896</v>
      </c>
      <c r="C157" s="270" t="s">
        <v>65</v>
      </c>
      <c r="D157" s="301">
        <v>1.3</v>
      </c>
    </row>
    <row r="158" spans="1:4" s="264" customFormat="1" ht="12.75">
      <c r="A158" s="379"/>
      <c r="B158" s="343" t="s">
        <v>900</v>
      </c>
      <c r="C158" s="270" t="s">
        <v>61</v>
      </c>
      <c r="D158" s="301">
        <v>2</v>
      </c>
    </row>
    <row r="159" spans="1:4" s="264" customFormat="1" ht="12.75">
      <c r="A159" s="379">
        <v>41</v>
      </c>
      <c r="B159" s="377" t="s">
        <v>90</v>
      </c>
      <c r="C159" s="270" t="s">
        <v>51</v>
      </c>
      <c r="D159" s="301">
        <v>1.8</v>
      </c>
    </row>
    <row r="160" spans="1:4" s="264" customFormat="1" ht="12.75">
      <c r="A160" s="379"/>
      <c r="B160" s="343" t="s">
        <v>62</v>
      </c>
      <c r="C160" s="270" t="s">
        <v>54</v>
      </c>
      <c r="D160" s="301">
        <f>D159*0.05</f>
        <v>0.09000000000000001</v>
      </c>
    </row>
    <row r="161" spans="1:4" s="264" customFormat="1" ht="12.75">
      <c r="A161" s="379"/>
      <c r="B161" s="343" t="s">
        <v>91</v>
      </c>
      <c r="C161" s="270" t="s">
        <v>51</v>
      </c>
      <c r="D161" s="301">
        <f>ROUND(1.8*1.1,2)</f>
        <v>1.98</v>
      </c>
    </row>
    <row r="162" spans="1:4" s="264" customFormat="1" ht="12.75">
      <c r="A162" s="379">
        <v>42</v>
      </c>
      <c r="B162" s="279" t="s">
        <v>921</v>
      </c>
      <c r="C162" s="270" t="s">
        <v>89</v>
      </c>
      <c r="D162" s="301">
        <f>ROUND((D163+D164)/1000*1.1,3)</f>
        <v>0.06</v>
      </c>
    </row>
    <row r="163" spans="1:4" s="264" customFormat="1" ht="12.75">
      <c r="A163" s="379"/>
      <c r="B163" s="343" t="s">
        <v>911</v>
      </c>
      <c r="C163" s="270" t="s">
        <v>65</v>
      </c>
      <c r="D163" s="301">
        <v>52.8</v>
      </c>
    </row>
    <row r="164" spans="1:4" s="264" customFormat="1" ht="12.75">
      <c r="A164" s="379"/>
      <c r="B164" s="395" t="s">
        <v>896</v>
      </c>
      <c r="C164" s="270" t="s">
        <v>65</v>
      </c>
      <c r="D164" s="301">
        <v>1.9</v>
      </c>
    </row>
    <row r="165" spans="1:4" s="264" customFormat="1" ht="12.75">
      <c r="A165" s="379"/>
      <c r="B165" s="343" t="s">
        <v>900</v>
      </c>
      <c r="C165" s="270" t="s">
        <v>61</v>
      </c>
      <c r="D165" s="301">
        <v>3</v>
      </c>
    </row>
    <row r="166" spans="1:4" s="264" customFormat="1" ht="12.75">
      <c r="A166" s="379">
        <v>43</v>
      </c>
      <c r="B166" s="377" t="s">
        <v>90</v>
      </c>
      <c r="C166" s="270" t="s">
        <v>51</v>
      </c>
      <c r="D166" s="301">
        <v>2</v>
      </c>
    </row>
    <row r="167" spans="1:4" s="264" customFormat="1" ht="12.75">
      <c r="A167" s="379"/>
      <c r="B167" s="343" t="s">
        <v>62</v>
      </c>
      <c r="C167" s="270" t="s">
        <v>54</v>
      </c>
      <c r="D167" s="301">
        <f>D166*0.05</f>
        <v>0.1</v>
      </c>
    </row>
    <row r="168" spans="1:4" s="264" customFormat="1" ht="12.75">
      <c r="A168" s="379"/>
      <c r="B168" s="343" t="s">
        <v>91</v>
      </c>
      <c r="C168" s="270" t="s">
        <v>51</v>
      </c>
      <c r="D168" s="301">
        <f>ROUND(2*1.1,2)</f>
        <v>2.2</v>
      </c>
    </row>
    <row r="169" spans="1:4" s="264" customFormat="1" ht="12.75">
      <c r="A169" s="379">
        <v>44</v>
      </c>
      <c r="B169" s="279" t="s">
        <v>922</v>
      </c>
      <c r="C169" s="270" t="s">
        <v>89</v>
      </c>
      <c r="D169" s="300">
        <f>ROUND((D170+D171)/1000*1.1,3)</f>
        <v>0.039</v>
      </c>
    </row>
    <row r="170" spans="1:4" s="264" customFormat="1" ht="12.75">
      <c r="A170" s="379"/>
      <c r="B170" s="343" t="s">
        <v>909</v>
      </c>
      <c r="C170" s="270" t="s">
        <v>65</v>
      </c>
      <c r="D170" s="301">
        <v>34.8</v>
      </c>
    </row>
    <row r="171" spans="1:4" s="264" customFormat="1" ht="12.75">
      <c r="A171" s="379"/>
      <c r="B171" s="395" t="s">
        <v>92</v>
      </c>
      <c r="C171" s="270" t="s">
        <v>65</v>
      </c>
      <c r="D171" s="301">
        <v>1</v>
      </c>
    </row>
    <row r="172" spans="1:4" s="264" customFormat="1" ht="12.75">
      <c r="A172" s="379"/>
      <c r="B172" s="343" t="s">
        <v>903</v>
      </c>
      <c r="C172" s="270" t="s">
        <v>61</v>
      </c>
      <c r="D172" s="301">
        <v>2</v>
      </c>
    </row>
    <row r="173" spans="1:4" s="264" customFormat="1" ht="12.75">
      <c r="A173" s="379">
        <v>45</v>
      </c>
      <c r="B173" s="377" t="s">
        <v>90</v>
      </c>
      <c r="C173" s="270" t="s">
        <v>51</v>
      </c>
      <c r="D173" s="301">
        <v>2</v>
      </c>
    </row>
    <row r="174" spans="1:4" s="264" customFormat="1" ht="12.75">
      <c r="A174" s="379"/>
      <c r="B174" s="343" t="s">
        <v>62</v>
      </c>
      <c r="C174" s="270" t="s">
        <v>54</v>
      </c>
      <c r="D174" s="301">
        <f>D173*0.05</f>
        <v>0.1</v>
      </c>
    </row>
    <row r="175" spans="1:4" s="264" customFormat="1" ht="12.75">
      <c r="A175" s="379"/>
      <c r="B175" s="343" t="s">
        <v>91</v>
      </c>
      <c r="C175" s="270" t="s">
        <v>51</v>
      </c>
      <c r="D175" s="301">
        <f>2*1.1</f>
        <v>2.2</v>
      </c>
    </row>
    <row r="176" spans="1:4" s="264" customFormat="1" ht="12.75">
      <c r="A176" s="379"/>
      <c r="B176" s="398" t="s">
        <v>923</v>
      </c>
      <c r="C176" s="270"/>
      <c r="D176" s="301"/>
    </row>
    <row r="177" spans="1:4" s="264" customFormat="1" ht="12.75">
      <c r="A177" s="379">
        <v>46</v>
      </c>
      <c r="B177" s="279" t="s">
        <v>924</v>
      </c>
      <c r="C177" s="270" t="s">
        <v>89</v>
      </c>
      <c r="D177" s="301">
        <f>ROUND((D178+D179)/1000*1.1,3)</f>
        <v>0.099</v>
      </c>
    </row>
    <row r="178" spans="1:4" s="264" customFormat="1" ht="12.75">
      <c r="A178" s="379"/>
      <c r="B178" s="343" t="s">
        <v>925</v>
      </c>
      <c r="C178" s="270" t="s">
        <v>65</v>
      </c>
      <c r="D178" s="301">
        <v>88.9</v>
      </c>
    </row>
    <row r="179" spans="1:4" s="264" customFormat="1" ht="12.75">
      <c r="A179" s="379"/>
      <c r="B179" s="395" t="s">
        <v>92</v>
      </c>
      <c r="C179" s="270" t="s">
        <v>65</v>
      </c>
      <c r="D179" s="301">
        <v>1.5</v>
      </c>
    </row>
    <row r="180" spans="1:4" s="264" customFormat="1" ht="12.75">
      <c r="A180" s="379"/>
      <c r="B180" s="343" t="s">
        <v>903</v>
      </c>
      <c r="C180" s="270" t="s">
        <v>61</v>
      </c>
      <c r="D180" s="301">
        <v>3</v>
      </c>
    </row>
    <row r="181" spans="1:4" s="264" customFormat="1" ht="12.75">
      <c r="A181" s="379">
        <v>47</v>
      </c>
      <c r="B181" s="377" t="s">
        <v>90</v>
      </c>
      <c r="C181" s="270" t="s">
        <v>51</v>
      </c>
      <c r="D181" s="301">
        <v>2</v>
      </c>
    </row>
    <row r="182" spans="1:4" s="264" customFormat="1" ht="12.75">
      <c r="A182" s="379"/>
      <c r="B182" s="343" t="s">
        <v>62</v>
      </c>
      <c r="C182" s="270" t="s">
        <v>54</v>
      </c>
      <c r="D182" s="301">
        <f>D181*0.05</f>
        <v>0.1</v>
      </c>
    </row>
    <row r="183" spans="1:4" s="264" customFormat="1" ht="12.75">
      <c r="A183" s="379"/>
      <c r="B183" s="343" t="s">
        <v>91</v>
      </c>
      <c r="C183" s="270" t="s">
        <v>51</v>
      </c>
      <c r="D183" s="301">
        <f>ROUND(2*1.1,2)</f>
        <v>2.2</v>
      </c>
    </row>
    <row r="184" spans="1:4" s="264" customFormat="1" ht="12.75">
      <c r="A184" s="379">
        <v>48</v>
      </c>
      <c r="B184" s="279" t="s">
        <v>926</v>
      </c>
      <c r="C184" s="270" t="s">
        <v>89</v>
      </c>
      <c r="D184" s="301">
        <f>ROUND((D185+D186)/1000*1.1,3)</f>
        <v>0.062</v>
      </c>
    </row>
    <row r="185" spans="1:4" s="264" customFormat="1" ht="12.75">
      <c r="A185" s="379"/>
      <c r="B185" s="343" t="s">
        <v>927</v>
      </c>
      <c r="C185" s="270" t="s">
        <v>65</v>
      </c>
      <c r="D185" s="301">
        <v>54.5</v>
      </c>
    </row>
    <row r="186" spans="1:4" s="264" customFormat="1" ht="12.75">
      <c r="A186" s="379"/>
      <c r="B186" s="395" t="s">
        <v>896</v>
      </c>
      <c r="C186" s="270" t="s">
        <v>65</v>
      </c>
      <c r="D186" s="301">
        <v>1.9</v>
      </c>
    </row>
    <row r="187" spans="1:4" s="264" customFormat="1" ht="12.75">
      <c r="A187" s="379"/>
      <c r="B187" s="343" t="s">
        <v>928</v>
      </c>
      <c r="C187" s="270" t="s">
        <v>61</v>
      </c>
      <c r="D187" s="301">
        <v>3</v>
      </c>
    </row>
    <row r="188" spans="1:4" s="264" customFormat="1" ht="12.75">
      <c r="A188" s="379">
        <v>49</v>
      </c>
      <c r="B188" s="377" t="s">
        <v>90</v>
      </c>
      <c r="C188" s="270" t="s">
        <v>51</v>
      </c>
      <c r="D188" s="301">
        <v>1.8</v>
      </c>
    </row>
    <row r="189" spans="1:4" s="264" customFormat="1" ht="12.75">
      <c r="A189" s="379"/>
      <c r="B189" s="343" t="s">
        <v>62</v>
      </c>
      <c r="C189" s="270" t="s">
        <v>54</v>
      </c>
      <c r="D189" s="301">
        <f>D188*0.05</f>
        <v>0.09000000000000001</v>
      </c>
    </row>
    <row r="190" spans="1:4" s="264" customFormat="1" ht="12.75">
      <c r="A190" s="379"/>
      <c r="B190" s="343" t="s">
        <v>91</v>
      </c>
      <c r="C190" s="270" t="s">
        <v>51</v>
      </c>
      <c r="D190" s="301">
        <f>ROUND(1.8*1.1,2)</f>
        <v>1.98</v>
      </c>
    </row>
    <row r="191" spans="1:4" s="264" customFormat="1" ht="25.5">
      <c r="A191" s="379"/>
      <c r="B191" s="400" t="s">
        <v>1483</v>
      </c>
      <c r="C191" s="270"/>
      <c r="D191" s="301"/>
    </row>
    <row r="192" spans="1:4" s="264" customFormat="1" ht="12.75">
      <c r="A192" s="379">
        <v>50</v>
      </c>
      <c r="B192" s="41" t="s">
        <v>929</v>
      </c>
      <c r="C192" s="39" t="s">
        <v>89</v>
      </c>
      <c r="D192" s="300">
        <f>ROUND((D193+D194+D195+D196+D197+D198+D199+D200)/1000*1.1,3)</f>
        <v>2.578</v>
      </c>
    </row>
    <row r="193" spans="1:4" s="264" customFormat="1" ht="12.75">
      <c r="A193" s="379"/>
      <c r="B193" s="376" t="s">
        <v>1484</v>
      </c>
      <c r="C193" s="39" t="s">
        <v>65</v>
      </c>
      <c r="D193" s="301">
        <v>1197.6</v>
      </c>
    </row>
    <row r="194" spans="1:4" s="264" customFormat="1" ht="12.75">
      <c r="A194" s="379"/>
      <c r="B194" s="376" t="s">
        <v>1485</v>
      </c>
      <c r="C194" s="39" t="s">
        <v>65</v>
      </c>
      <c r="D194" s="301">
        <v>116.4</v>
      </c>
    </row>
    <row r="195" spans="1:4" s="264" customFormat="1" ht="12.75">
      <c r="A195" s="379"/>
      <c r="B195" s="376" t="s">
        <v>1486</v>
      </c>
      <c r="C195" s="39" t="s">
        <v>65</v>
      </c>
      <c r="D195" s="301">
        <v>543.3</v>
      </c>
    </row>
    <row r="196" spans="1:4" s="264" customFormat="1" ht="12.75">
      <c r="A196" s="379"/>
      <c r="B196" s="376" t="s">
        <v>1487</v>
      </c>
      <c r="C196" s="39" t="s">
        <v>65</v>
      </c>
      <c r="D196" s="301">
        <v>37.8</v>
      </c>
    </row>
    <row r="197" spans="1:4" s="264" customFormat="1" ht="12.75">
      <c r="A197" s="379"/>
      <c r="B197" s="376" t="s">
        <v>1488</v>
      </c>
      <c r="C197" s="39" t="s">
        <v>65</v>
      </c>
      <c r="D197" s="301">
        <v>34.6</v>
      </c>
    </row>
    <row r="198" spans="1:4" s="264" customFormat="1" ht="12.75">
      <c r="A198" s="379"/>
      <c r="B198" s="376" t="s">
        <v>1489</v>
      </c>
      <c r="C198" s="39" t="s">
        <v>65</v>
      </c>
      <c r="D198" s="301">
        <v>215</v>
      </c>
    </row>
    <row r="199" spans="1:4" s="264" customFormat="1" ht="12.75">
      <c r="A199" s="379"/>
      <c r="B199" s="376" t="s">
        <v>1490</v>
      </c>
      <c r="C199" s="39" t="s">
        <v>65</v>
      </c>
      <c r="D199" s="301">
        <v>30.6</v>
      </c>
    </row>
    <row r="200" spans="1:4" s="264" customFormat="1" ht="12.75">
      <c r="A200" s="379"/>
      <c r="B200" s="401" t="s">
        <v>930</v>
      </c>
      <c r="C200" s="39" t="s">
        <v>65</v>
      </c>
      <c r="D200" s="301">
        <v>168</v>
      </c>
    </row>
    <row r="201" spans="1:4" s="264" customFormat="1" ht="12.75">
      <c r="A201" s="379">
        <v>51</v>
      </c>
      <c r="B201" s="41" t="s">
        <v>931</v>
      </c>
      <c r="C201" s="39" t="s">
        <v>89</v>
      </c>
      <c r="D201" s="300">
        <f>ROUND((D202+D203)/1000*1.1,3)</f>
        <v>2.076</v>
      </c>
    </row>
    <row r="202" spans="1:4" s="264" customFormat="1" ht="12.75">
      <c r="A202" s="379"/>
      <c r="B202" s="376" t="s">
        <v>932</v>
      </c>
      <c r="C202" s="39" t="s">
        <v>65</v>
      </c>
      <c r="D202" s="301">
        <v>1092</v>
      </c>
    </row>
    <row r="203" spans="1:4" s="264" customFormat="1" ht="12.75">
      <c r="A203" s="379"/>
      <c r="B203" s="376" t="s">
        <v>933</v>
      </c>
      <c r="C203" s="39" t="s">
        <v>65</v>
      </c>
      <c r="D203" s="301">
        <v>795</v>
      </c>
    </row>
    <row r="204" spans="1:4" s="264" customFormat="1" ht="38.25">
      <c r="A204" s="379">
        <v>52</v>
      </c>
      <c r="B204" s="268" t="s">
        <v>1476</v>
      </c>
      <c r="C204" s="385" t="s">
        <v>54</v>
      </c>
      <c r="D204" s="402">
        <f>2.5+0.5+2.6</f>
        <v>5.6</v>
      </c>
    </row>
    <row r="205" spans="1:4" s="264" customFormat="1" ht="12.75">
      <c r="A205" s="379"/>
      <c r="B205" s="343" t="s">
        <v>120</v>
      </c>
      <c r="C205" s="270" t="s">
        <v>54</v>
      </c>
      <c r="D205" s="301">
        <f>ROUND(2.5*1.05,2)</f>
        <v>2.63</v>
      </c>
    </row>
    <row r="206" spans="1:4" s="264" customFormat="1" ht="12.75">
      <c r="A206" s="379"/>
      <c r="B206" s="343" t="s">
        <v>119</v>
      </c>
      <c r="C206" s="270" t="s">
        <v>54</v>
      </c>
      <c r="D206" s="301">
        <f>ROUND(0.5*1.05,2)</f>
        <v>0.53</v>
      </c>
    </row>
    <row r="207" spans="1:4" s="264" customFormat="1" ht="12.75">
      <c r="A207" s="379"/>
      <c r="B207" s="376" t="s">
        <v>114</v>
      </c>
      <c r="C207" s="385" t="s">
        <v>54</v>
      </c>
      <c r="D207" s="301">
        <f>ROUND(2.6*1.05,2)</f>
        <v>2.73</v>
      </c>
    </row>
    <row r="208" spans="1:4" s="264" customFormat="1" ht="12.75">
      <c r="A208" s="379">
        <v>53</v>
      </c>
      <c r="B208" s="268" t="s">
        <v>115</v>
      </c>
      <c r="C208" s="39" t="s">
        <v>51</v>
      </c>
      <c r="D208" s="403">
        <v>31.6</v>
      </c>
    </row>
    <row r="209" spans="1:4" s="264" customFormat="1" ht="12.75">
      <c r="A209" s="379"/>
      <c r="B209" s="376" t="s">
        <v>118</v>
      </c>
      <c r="C209" s="39" t="s">
        <v>65</v>
      </c>
      <c r="D209" s="300">
        <f>ROUND((597.2+100.8)*1.1,2)</f>
        <v>767.8</v>
      </c>
    </row>
    <row r="210" spans="1:4" s="264" customFormat="1" ht="12.75">
      <c r="A210" s="379">
        <v>54</v>
      </c>
      <c r="B210" s="268" t="s">
        <v>116</v>
      </c>
      <c r="C210" s="39" t="s">
        <v>51</v>
      </c>
      <c r="D210" s="403">
        <f>ROUND((D192+D201)*35,2)</f>
        <v>162.89</v>
      </c>
    </row>
    <row r="211" spans="1:4" s="264" customFormat="1" ht="25.5">
      <c r="A211" s="379">
        <v>55</v>
      </c>
      <c r="B211" s="404" t="s">
        <v>117</v>
      </c>
      <c r="C211" s="39" t="s">
        <v>51</v>
      </c>
      <c r="D211" s="403">
        <f>D210</f>
        <v>162.89</v>
      </c>
    </row>
    <row r="212" spans="1:4" s="264" customFormat="1" ht="12.75">
      <c r="A212" s="379"/>
      <c r="B212" s="262" t="s">
        <v>934</v>
      </c>
      <c r="C212" s="270"/>
      <c r="D212" s="301"/>
    </row>
    <row r="213" spans="1:4" s="264" customFormat="1" ht="89.25">
      <c r="A213" s="379">
        <v>56</v>
      </c>
      <c r="B213" s="279" t="s">
        <v>935</v>
      </c>
      <c r="C213" s="270" t="s">
        <v>54</v>
      </c>
      <c r="D213" s="302">
        <v>1.25</v>
      </c>
    </row>
    <row r="214" spans="1:4" s="264" customFormat="1" ht="12.75">
      <c r="A214" s="379"/>
      <c r="B214" s="375" t="s">
        <v>936</v>
      </c>
      <c r="C214" s="270"/>
      <c r="D214" s="301"/>
    </row>
    <row r="215" spans="1:4" s="264" customFormat="1" ht="12.75">
      <c r="A215" s="379"/>
      <c r="B215" s="398" t="s">
        <v>130</v>
      </c>
      <c r="C215" s="39"/>
      <c r="D215" s="403"/>
    </row>
    <row r="216" spans="1:4" s="264" customFormat="1" ht="25.5">
      <c r="A216" s="379">
        <v>57</v>
      </c>
      <c r="B216" s="268" t="s">
        <v>122</v>
      </c>
      <c r="C216" s="39" t="s">
        <v>54</v>
      </c>
      <c r="D216" s="403">
        <v>1</v>
      </c>
    </row>
    <row r="217" spans="1:4" s="264" customFormat="1" ht="12.75">
      <c r="A217" s="379"/>
      <c r="B217" s="376" t="s">
        <v>123</v>
      </c>
      <c r="C217" s="39" t="s">
        <v>54</v>
      </c>
      <c r="D217" s="403">
        <f>ROUND(D216*1.1,2)</f>
        <v>1.1</v>
      </c>
    </row>
    <row r="218" spans="1:4" ht="38.25">
      <c r="A218" s="379">
        <v>58</v>
      </c>
      <c r="B218" s="404" t="s">
        <v>134</v>
      </c>
      <c r="C218" s="385" t="s">
        <v>54</v>
      </c>
      <c r="D218" s="402">
        <v>0.6</v>
      </c>
    </row>
    <row r="219" spans="1:4" ht="15">
      <c r="A219" s="379"/>
      <c r="B219" s="405" t="s">
        <v>132</v>
      </c>
      <c r="C219" s="385" t="s">
        <v>54</v>
      </c>
      <c r="D219" s="402">
        <f>D218*1.05</f>
        <v>0.63</v>
      </c>
    </row>
    <row r="220" spans="1:4" ht="38.25">
      <c r="A220" s="379">
        <v>59</v>
      </c>
      <c r="B220" s="377" t="s">
        <v>133</v>
      </c>
      <c r="C220" s="385" t="s">
        <v>54</v>
      </c>
      <c r="D220" s="402">
        <v>1.7</v>
      </c>
    </row>
    <row r="221" spans="1:4" ht="15">
      <c r="A221" s="379"/>
      <c r="B221" s="376" t="s">
        <v>124</v>
      </c>
      <c r="C221" s="385" t="s">
        <v>54</v>
      </c>
      <c r="D221" s="402">
        <f>D220*1.05</f>
        <v>1.785</v>
      </c>
    </row>
    <row r="222" spans="1:4" ht="15">
      <c r="A222" s="379"/>
      <c r="B222" s="406" t="s">
        <v>125</v>
      </c>
      <c r="C222" s="280" t="s">
        <v>51</v>
      </c>
      <c r="D222" s="302">
        <f>2.5*D220</f>
        <v>4.25</v>
      </c>
    </row>
    <row r="223" spans="1:4" ht="15">
      <c r="A223" s="379">
        <v>60</v>
      </c>
      <c r="B223" s="268" t="s">
        <v>126</v>
      </c>
      <c r="C223" s="39" t="s">
        <v>89</v>
      </c>
      <c r="D223" s="403">
        <f>ROUND((192+54.2)/1000,3)</f>
        <v>0.246</v>
      </c>
    </row>
    <row r="224" spans="1:4" ht="25.5">
      <c r="A224" s="379"/>
      <c r="B224" s="376" t="s">
        <v>135</v>
      </c>
      <c r="C224" s="39" t="s">
        <v>65</v>
      </c>
      <c r="D224" s="403">
        <f>ROUND((192+54.2)*1.08,2)</f>
        <v>265.9</v>
      </c>
    </row>
    <row r="225" spans="1:4" ht="15">
      <c r="A225" s="407" t="s">
        <v>1286</v>
      </c>
      <c r="B225" s="41" t="s">
        <v>1287</v>
      </c>
      <c r="C225" s="39" t="s">
        <v>51</v>
      </c>
      <c r="D225" s="403">
        <v>4</v>
      </c>
    </row>
    <row r="226" spans="1:4" ht="15">
      <c r="A226" s="379"/>
      <c r="B226" s="408" t="s">
        <v>127</v>
      </c>
      <c r="C226" s="270"/>
      <c r="D226" s="301"/>
    </row>
    <row r="227" spans="1:4" ht="38.25">
      <c r="A227" s="379">
        <v>61</v>
      </c>
      <c r="B227" s="268" t="s">
        <v>1477</v>
      </c>
      <c r="C227" s="385" t="s">
        <v>54</v>
      </c>
      <c r="D227" s="402">
        <v>23.1</v>
      </c>
    </row>
    <row r="228" spans="1:4" ht="15">
      <c r="A228" s="379"/>
      <c r="B228" s="343" t="s">
        <v>120</v>
      </c>
      <c r="C228" s="270" t="s">
        <v>54</v>
      </c>
      <c r="D228" s="301">
        <f>ROUND(D227*1.05,2)</f>
        <v>24.26</v>
      </c>
    </row>
    <row r="229" spans="1:4" ht="15">
      <c r="A229" s="379">
        <v>62</v>
      </c>
      <c r="B229" s="268" t="s">
        <v>137</v>
      </c>
      <c r="C229" s="39" t="s">
        <v>89</v>
      </c>
      <c r="D229" s="300">
        <f>ROUND((2310+170+23+8.9+7)/1000,3)</f>
        <v>2.519</v>
      </c>
    </row>
    <row r="230" spans="1:4" ht="25.5">
      <c r="A230" s="379"/>
      <c r="B230" s="376" t="s">
        <v>136</v>
      </c>
      <c r="C230" s="39" t="s">
        <v>65</v>
      </c>
      <c r="D230" s="403">
        <f>ROUND((2310+170+23)*1.08,2)</f>
        <v>2703.24</v>
      </c>
    </row>
    <row r="231" spans="1:4" ht="15">
      <c r="A231" s="379"/>
      <c r="B231" s="376" t="s">
        <v>128</v>
      </c>
      <c r="C231" s="39" t="s">
        <v>65</v>
      </c>
      <c r="D231" s="403">
        <v>8.9</v>
      </c>
    </row>
    <row r="232" spans="1:4" ht="15">
      <c r="A232" s="379"/>
      <c r="B232" s="376" t="s">
        <v>131</v>
      </c>
      <c r="C232" s="39" t="s">
        <v>65</v>
      </c>
      <c r="D232" s="403">
        <v>7</v>
      </c>
    </row>
    <row r="233" spans="1:4" ht="15">
      <c r="A233" s="273" t="s">
        <v>0</v>
      </c>
      <c r="B233" s="348" t="s">
        <v>1</v>
      </c>
      <c r="C233" s="349"/>
      <c r="D233" s="367"/>
    </row>
    <row r="234" spans="1:4" ht="140.25">
      <c r="A234" s="273"/>
      <c r="B234" s="269" t="s">
        <v>1454</v>
      </c>
      <c r="C234" s="349" t="s">
        <v>2</v>
      </c>
      <c r="D234" s="367">
        <v>1</v>
      </c>
    </row>
    <row r="235" spans="1:4" ht="15">
      <c r="A235" s="284"/>
      <c r="B235" s="541" t="s">
        <v>13</v>
      </c>
      <c r="C235" s="542"/>
      <c r="D235" s="285"/>
    </row>
    <row r="236" spans="1:4" ht="15">
      <c r="A236" s="354"/>
      <c r="B236" s="355"/>
      <c r="C236" s="354"/>
      <c r="D236" s="356"/>
    </row>
    <row r="237" spans="1:4" s="264" customFormat="1" ht="12.75">
      <c r="A237" s="287" t="s">
        <v>14</v>
      </c>
      <c r="B237" s="288"/>
      <c r="C237" s="286"/>
      <c r="D237" s="286"/>
    </row>
    <row r="238" spans="1:4" s="264" customFormat="1" ht="12.75">
      <c r="A238" s="289"/>
      <c r="B238" s="290" t="s">
        <v>4</v>
      </c>
      <c r="C238" s="286"/>
      <c r="D238" s="286"/>
    </row>
    <row r="239" spans="1:4" s="264" customFormat="1" ht="12.75">
      <c r="A239" s="289"/>
      <c r="B239" s="291"/>
      <c r="C239" s="286"/>
      <c r="D239" s="286"/>
    </row>
    <row r="240" spans="1:4" s="264" customFormat="1" ht="12.75">
      <c r="A240" s="287" t="s">
        <v>6</v>
      </c>
      <c r="B240" s="288"/>
      <c r="C240" s="286"/>
      <c r="D240" s="286"/>
    </row>
    <row r="241" spans="1:4" s="264" customFormat="1" ht="12.75">
      <c r="A241" s="289"/>
      <c r="B241" s="290" t="s">
        <v>4</v>
      </c>
      <c r="C241" s="286"/>
      <c r="D241" s="286"/>
    </row>
    <row r="242" spans="1:4" s="264" customFormat="1" ht="12.75">
      <c r="A242" s="289" t="s">
        <v>5</v>
      </c>
      <c r="B242" s="292"/>
      <c r="C242" s="286"/>
      <c r="D242" s="286"/>
    </row>
    <row r="243" spans="1:3" s="264" customFormat="1" ht="12.75">
      <c r="A243" s="289"/>
      <c r="B243" s="286"/>
      <c r="C243" s="286"/>
    </row>
  </sheetData>
  <sheetProtection/>
  <mergeCells count="9">
    <mergeCell ref="A1:D1"/>
    <mergeCell ref="A5:D5"/>
    <mergeCell ref="A6:D6"/>
    <mergeCell ref="A7:D7"/>
    <mergeCell ref="B235:C235"/>
    <mergeCell ref="C9:D9"/>
    <mergeCell ref="A2:D2"/>
    <mergeCell ref="A3:D3"/>
    <mergeCell ref="A9:B9"/>
  </mergeCells>
  <printOptions/>
  <pageMargins left="0.7086614173228347" right="0.7086614173228347" top="0.7480314960629921" bottom="0.7480314960629921" header="0.31496062992125984" footer="0.31496062992125984"/>
  <pageSetup horizontalDpi="600" verticalDpi="600" orientation="portrait" paperSize="9" r:id="rId2"/>
  <ignoredErrors>
    <ignoredError sqref="D29 D36" formula="1"/>
  </ignoredErrors>
  <drawing r:id="rId1"/>
</worksheet>
</file>

<file path=xl/worksheets/sheet4.xml><?xml version="1.0" encoding="utf-8"?>
<worksheet xmlns="http://schemas.openxmlformats.org/spreadsheetml/2006/main" xmlns:r="http://schemas.openxmlformats.org/officeDocument/2006/relationships">
  <sheetPr>
    <tabColor rgb="FFFF0000"/>
  </sheetPr>
  <dimension ref="A1:D80"/>
  <sheetViews>
    <sheetView showZeros="0" view="pageBreakPreview" zoomScale="145" zoomScaleSheetLayoutView="145" zoomScalePageLayoutView="0" workbookViewId="0" topLeftCell="A67">
      <selection activeCell="B69" sqref="B69"/>
    </sheetView>
  </sheetViews>
  <sheetFormatPr defaultColWidth="11.421875" defaultRowHeight="15"/>
  <cols>
    <col min="1" max="1" width="7.28125" style="286" customWidth="1"/>
    <col min="2" max="2" width="52.57421875" style="286" customWidth="1"/>
    <col min="3" max="3" width="11.57421875" style="286" customWidth="1"/>
    <col min="4" max="4" width="11.00390625" style="293" customWidth="1"/>
    <col min="5" max="16384" width="11.421875" style="254" customWidth="1"/>
  </cols>
  <sheetData>
    <row r="1" spans="1:4" ht="15.75">
      <c r="A1" s="544" t="s">
        <v>1478</v>
      </c>
      <c r="B1" s="544"/>
      <c r="C1" s="544"/>
      <c r="D1" s="544"/>
    </row>
    <row r="2" spans="1:4" ht="15">
      <c r="A2" s="545" t="s">
        <v>139</v>
      </c>
      <c r="B2" s="545"/>
      <c r="C2" s="545"/>
      <c r="D2" s="545"/>
    </row>
    <row r="3" spans="1:4" ht="15">
      <c r="A3" s="546" t="s">
        <v>1452</v>
      </c>
      <c r="B3" s="546"/>
      <c r="C3" s="546"/>
      <c r="D3" s="546"/>
    </row>
    <row r="4" spans="1:4" ht="15">
      <c r="A4" s="255"/>
      <c r="B4" s="255"/>
      <c r="C4" s="255"/>
      <c r="D4" s="255"/>
    </row>
    <row r="5" spans="1:4" s="264" customFormat="1" ht="31.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s="264" customFormat="1" ht="12.75">
      <c r="A9" s="296"/>
      <c r="B9" s="297"/>
      <c r="C9" s="297"/>
      <c r="D9" s="297"/>
    </row>
    <row r="10" spans="1:4" ht="15">
      <c r="A10" s="352" t="s">
        <v>1456</v>
      </c>
      <c r="B10" s="307"/>
      <c r="C10" s="307"/>
      <c r="D10" s="307"/>
    </row>
    <row r="11" spans="1:4" ht="15">
      <c r="A11" s="307"/>
      <c r="B11" s="307"/>
      <c r="C11" s="307"/>
      <c r="D11" s="307"/>
    </row>
    <row r="12" spans="1:4" ht="48" customHeight="1">
      <c r="A12" s="309" t="s">
        <v>886</v>
      </c>
      <c r="B12" s="299" t="s">
        <v>1455</v>
      </c>
      <c r="C12" s="309" t="s">
        <v>1464</v>
      </c>
      <c r="D12" s="299" t="s">
        <v>1465</v>
      </c>
    </row>
    <row r="13" spans="1:4" ht="15">
      <c r="A13" s="299">
        <v>1</v>
      </c>
      <c r="B13" s="299">
        <v>2</v>
      </c>
      <c r="C13" s="299">
        <v>3</v>
      </c>
      <c r="D13" s="299">
        <v>4</v>
      </c>
    </row>
    <row r="14" spans="1:4" s="264" customFormat="1" ht="12.75">
      <c r="A14" s="265"/>
      <c r="B14" s="375" t="s">
        <v>140</v>
      </c>
      <c r="C14" s="281"/>
      <c r="D14" s="314"/>
    </row>
    <row r="15" spans="1:4" s="264" customFormat="1" ht="12.75">
      <c r="A15" s="265"/>
      <c r="B15" s="375" t="s">
        <v>141</v>
      </c>
      <c r="C15" s="281"/>
      <c r="D15" s="207"/>
    </row>
    <row r="16" spans="1:4" s="264" customFormat="1" ht="25.5">
      <c r="A16" s="265">
        <v>1</v>
      </c>
      <c r="B16" s="268" t="s">
        <v>122</v>
      </c>
      <c r="C16" s="39" t="s">
        <v>54</v>
      </c>
      <c r="D16" s="363">
        <f>ROUND(D18*0.08,2)</f>
        <v>97.08</v>
      </c>
    </row>
    <row r="17" spans="1:4" s="264" customFormat="1" ht="12.75">
      <c r="A17" s="261"/>
      <c r="B17" s="376" t="s">
        <v>138</v>
      </c>
      <c r="C17" s="39" t="s">
        <v>54</v>
      </c>
      <c r="D17" s="363">
        <f>ROUND(D16*1.1,2)</f>
        <v>106.79</v>
      </c>
    </row>
    <row r="18" spans="1:4" s="264" customFormat="1" ht="12.75">
      <c r="A18" s="265">
        <v>2</v>
      </c>
      <c r="B18" s="377" t="s">
        <v>142</v>
      </c>
      <c r="C18" s="270" t="s">
        <v>51</v>
      </c>
      <c r="D18" s="363">
        <f>991.75+221.75</f>
        <v>1213.5</v>
      </c>
    </row>
    <row r="19" spans="1:4" s="264" customFormat="1" ht="25.5">
      <c r="A19" s="261"/>
      <c r="B19" s="343" t="s">
        <v>1423</v>
      </c>
      <c r="C19" s="270" t="s">
        <v>51</v>
      </c>
      <c r="D19" s="300">
        <f>ROUND(D18*1.03,2)</f>
        <v>1249.91</v>
      </c>
    </row>
    <row r="20" spans="1:4" s="264" customFormat="1" ht="12.75">
      <c r="A20" s="280">
        <v>3</v>
      </c>
      <c r="B20" s="377" t="s">
        <v>1424</v>
      </c>
      <c r="C20" s="270" t="s">
        <v>51</v>
      </c>
      <c r="D20" s="300">
        <f>D18</f>
        <v>1213.5</v>
      </c>
    </row>
    <row r="21" spans="1:4" s="264" customFormat="1" ht="12.75">
      <c r="A21" s="261"/>
      <c r="B21" s="343" t="s">
        <v>143</v>
      </c>
      <c r="C21" s="270" t="s">
        <v>51</v>
      </c>
      <c r="D21" s="300">
        <f>ROUND(1.15*D20,2)</f>
        <v>1395.53</v>
      </c>
    </row>
    <row r="22" spans="1:4" s="264" customFormat="1" ht="51">
      <c r="A22" s="265">
        <v>4</v>
      </c>
      <c r="B22" s="378" t="s">
        <v>185</v>
      </c>
      <c r="C22" s="339" t="s">
        <v>51</v>
      </c>
      <c r="D22" s="300">
        <f>D20</f>
        <v>1213.5</v>
      </c>
    </row>
    <row r="23" spans="1:4" s="264" customFormat="1" ht="12.75">
      <c r="A23" s="379"/>
      <c r="B23" s="375" t="s">
        <v>144</v>
      </c>
      <c r="C23" s="281"/>
      <c r="D23" s="380"/>
    </row>
    <row r="24" spans="1:4" s="264" customFormat="1" ht="25.5">
      <c r="A24" s="379">
        <v>5</v>
      </c>
      <c r="B24" s="268" t="s">
        <v>122</v>
      </c>
      <c r="C24" s="39" t="s">
        <v>54</v>
      </c>
      <c r="D24" s="363">
        <f>ROUND(D26*0.08,2)</f>
        <v>5.13</v>
      </c>
    </row>
    <row r="25" spans="1:4" s="264" customFormat="1" ht="12.75">
      <c r="A25" s="379"/>
      <c r="B25" s="376" t="s">
        <v>138</v>
      </c>
      <c r="C25" s="39" t="s">
        <v>54</v>
      </c>
      <c r="D25" s="363">
        <f>ROUND(D24*1.1,2)</f>
        <v>5.64</v>
      </c>
    </row>
    <row r="26" spans="1:4" s="264" customFormat="1" ht="12.75">
      <c r="A26" s="379">
        <v>6</v>
      </c>
      <c r="B26" s="377" t="s">
        <v>142</v>
      </c>
      <c r="C26" s="270" t="s">
        <v>51</v>
      </c>
      <c r="D26" s="363">
        <f>48.1+16</f>
        <v>64.1</v>
      </c>
    </row>
    <row r="27" spans="1:4" s="264" customFormat="1" ht="25.5">
      <c r="A27" s="379"/>
      <c r="B27" s="343" t="s">
        <v>1425</v>
      </c>
      <c r="C27" s="270" t="s">
        <v>51</v>
      </c>
      <c r="D27" s="300">
        <f>ROUND(D26*1.03,2)</f>
        <v>66.02</v>
      </c>
    </row>
    <row r="28" spans="1:4" s="264" customFormat="1" ht="12.75">
      <c r="A28" s="379">
        <v>7</v>
      </c>
      <c r="B28" s="377" t="s">
        <v>1424</v>
      </c>
      <c r="C28" s="270" t="s">
        <v>51</v>
      </c>
      <c r="D28" s="300">
        <f>D26</f>
        <v>64.1</v>
      </c>
    </row>
    <row r="29" spans="1:4" s="264" customFormat="1" ht="12.75">
      <c r="A29" s="379"/>
      <c r="B29" s="343" t="s">
        <v>143</v>
      </c>
      <c r="C29" s="270" t="s">
        <v>51</v>
      </c>
      <c r="D29" s="300">
        <f>ROUND(1.15*D28,2)</f>
        <v>73.72</v>
      </c>
    </row>
    <row r="30" spans="1:4" s="264" customFormat="1" ht="51">
      <c r="A30" s="379">
        <v>8</v>
      </c>
      <c r="B30" s="378" t="s">
        <v>185</v>
      </c>
      <c r="C30" s="339" t="s">
        <v>51</v>
      </c>
      <c r="D30" s="300">
        <f>D26</f>
        <v>64.1</v>
      </c>
    </row>
    <row r="31" spans="1:4" s="264" customFormat="1" ht="12.75">
      <c r="A31" s="379"/>
      <c r="B31" s="375" t="s">
        <v>145</v>
      </c>
      <c r="C31" s="281"/>
      <c r="D31" s="300"/>
    </row>
    <row r="32" spans="1:4" s="264" customFormat="1" ht="25.5">
      <c r="A32" s="379">
        <v>9</v>
      </c>
      <c r="B32" s="268" t="s">
        <v>122</v>
      </c>
      <c r="C32" s="39" t="s">
        <v>54</v>
      </c>
      <c r="D32" s="363">
        <f>ROUND(D34*0.08,2)</f>
        <v>11.03</v>
      </c>
    </row>
    <row r="33" spans="1:4" s="264" customFormat="1" ht="12.75">
      <c r="A33" s="379"/>
      <c r="B33" s="376" t="s">
        <v>138</v>
      </c>
      <c r="C33" s="39" t="s">
        <v>54</v>
      </c>
      <c r="D33" s="363">
        <f>ROUND(D32*1.1,2)</f>
        <v>12.13</v>
      </c>
    </row>
    <row r="34" spans="1:4" s="264" customFormat="1" ht="12.75">
      <c r="A34" s="379">
        <v>10</v>
      </c>
      <c r="B34" s="377" t="s">
        <v>142</v>
      </c>
      <c r="C34" s="270" t="s">
        <v>51</v>
      </c>
      <c r="D34" s="300">
        <f>44.7+93.2</f>
        <v>137.9</v>
      </c>
    </row>
    <row r="35" spans="1:4" s="264" customFormat="1" ht="25.5">
      <c r="A35" s="379"/>
      <c r="B35" s="343" t="s">
        <v>1423</v>
      </c>
      <c r="C35" s="270" t="s">
        <v>51</v>
      </c>
      <c r="D35" s="300">
        <f>ROUND(D34*1.03,2)</f>
        <v>142.04</v>
      </c>
    </row>
    <row r="36" spans="1:4" s="264" customFormat="1" ht="12.75">
      <c r="A36" s="379">
        <v>11</v>
      </c>
      <c r="B36" s="377" t="s">
        <v>1424</v>
      </c>
      <c r="C36" s="270" t="s">
        <v>51</v>
      </c>
      <c r="D36" s="300">
        <f>D34</f>
        <v>137.9</v>
      </c>
    </row>
    <row r="37" spans="1:4" s="264" customFormat="1" ht="12.75">
      <c r="A37" s="379"/>
      <c r="B37" s="343" t="s">
        <v>143</v>
      </c>
      <c r="C37" s="270" t="s">
        <v>51</v>
      </c>
      <c r="D37" s="300">
        <f>ROUND(1.15*D36,2)</f>
        <v>158.59</v>
      </c>
    </row>
    <row r="38" spans="1:4" s="264" customFormat="1" ht="51">
      <c r="A38" s="379">
        <v>12</v>
      </c>
      <c r="B38" s="378" t="s">
        <v>186</v>
      </c>
      <c r="C38" s="339" t="s">
        <v>51</v>
      </c>
      <c r="D38" s="300">
        <f>D34</f>
        <v>137.9</v>
      </c>
    </row>
    <row r="39" spans="1:4" s="264" customFormat="1" ht="12.75">
      <c r="A39" s="379">
        <v>13</v>
      </c>
      <c r="B39" s="333" t="s">
        <v>146</v>
      </c>
      <c r="C39" s="318" t="s">
        <v>51</v>
      </c>
      <c r="D39" s="300">
        <f>D38</f>
        <v>137.9</v>
      </c>
    </row>
    <row r="40" spans="1:4" s="264" customFormat="1" ht="25.5">
      <c r="A40" s="379">
        <v>14</v>
      </c>
      <c r="B40" s="333" t="s">
        <v>148</v>
      </c>
      <c r="C40" s="318" t="s">
        <v>51</v>
      </c>
      <c r="D40" s="300">
        <f>D38</f>
        <v>137.9</v>
      </c>
    </row>
    <row r="41" spans="1:4" s="264" customFormat="1" ht="12.75">
      <c r="A41" s="379"/>
      <c r="B41" s="375" t="s">
        <v>147</v>
      </c>
      <c r="C41" s="281"/>
      <c r="D41" s="380"/>
    </row>
    <row r="42" spans="1:4" s="264" customFormat="1" ht="25.5">
      <c r="A42" s="379">
        <v>15</v>
      </c>
      <c r="B42" s="268" t="s">
        <v>122</v>
      </c>
      <c r="C42" s="39" t="s">
        <v>54</v>
      </c>
      <c r="D42" s="363">
        <f>ROUND(D44*0.08,2)</f>
        <v>34.14</v>
      </c>
    </row>
    <row r="43" spans="1:4" s="264" customFormat="1" ht="12.75">
      <c r="A43" s="379"/>
      <c r="B43" s="376" t="s">
        <v>138</v>
      </c>
      <c r="C43" s="39" t="s">
        <v>54</v>
      </c>
      <c r="D43" s="363">
        <f>ROUND(D42*1.1,2)</f>
        <v>37.55</v>
      </c>
    </row>
    <row r="44" spans="1:4" s="264" customFormat="1" ht="30.75" customHeight="1">
      <c r="A44" s="381">
        <v>16</v>
      </c>
      <c r="B44" s="382" t="s">
        <v>1426</v>
      </c>
      <c r="C44" s="342" t="s">
        <v>51</v>
      </c>
      <c r="D44" s="383">
        <v>426.7</v>
      </c>
    </row>
    <row r="45" spans="1:4" s="264" customFormat="1" ht="38.25">
      <c r="A45" s="379">
        <v>17</v>
      </c>
      <c r="B45" s="384" t="s">
        <v>1479</v>
      </c>
      <c r="C45" s="385" t="s">
        <v>54</v>
      </c>
      <c r="D45" s="386">
        <f>1.7+0.25</f>
        <v>1.95</v>
      </c>
    </row>
    <row r="46" spans="1:4" s="264" customFormat="1" ht="12.75">
      <c r="A46" s="379"/>
      <c r="B46" s="343" t="s">
        <v>119</v>
      </c>
      <c r="C46" s="270" t="s">
        <v>54</v>
      </c>
      <c r="D46" s="300">
        <f>ROUND(1.7*1.05,2)</f>
        <v>1.79</v>
      </c>
    </row>
    <row r="47" spans="1:4" s="387" customFormat="1" ht="12.75">
      <c r="A47" s="379"/>
      <c r="B47" s="343" t="s">
        <v>1385</v>
      </c>
      <c r="C47" s="385" t="s">
        <v>54</v>
      </c>
      <c r="D47" s="300">
        <f>ROUND(0.25*1.05,2)</f>
        <v>0.26</v>
      </c>
    </row>
    <row r="48" spans="1:4" s="264" customFormat="1" ht="12.75">
      <c r="A48" s="320">
        <v>17.1</v>
      </c>
      <c r="B48" s="388" t="s">
        <v>1482</v>
      </c>
      <c r="C48" s="389" t="s">
        <v>51</v>
      </c>
      <c r="D48" s="386">
        <f>D44</f>
        <v>426.7</v>
      </c>
    </row>
    <row r="49" spans="1:4" s="264" customFormat="1" ht="25.5">
      <c r="A49" s="379">
        <v>18</v>
      </c>
      <c r="B49" s="279" t="s">
        <v>1427</v>
      </c>
      <c r="C49" s="273" t="s">
        <v>51</v>
      </c>
      <c r="D49" s="303">
        <f>D48</f>
        <v>426.7</v>
      </c>
    </row>
    <row r="50" spans="1:4" s="264" customFormat="1" ht="25.5">
      <c r="A50" s="379"/>
      <c r="B50" s="376" t="s">
        <v>1428</v>
      </c>
      <c r="C50" s="39" t="s">
        <v>51</v>
      </c>
      <c r="D50" s="363">
        <f>D49</f>
        <v>426.7</v>
      </c>
    </row>
    <row r="51" spans="1:4" s="264" customFormat="1" ht="12.75">
      <c r="A51" s="379">
        <v>19</v>
      </c>
      <c r="B51" s="377" t="s">
        <v>142</v>
      </c>
      <c r="C51" s="270" t="s">
        <v>51</v>
      </c>
      <c r="D51" s="300">
        <v>426.7</v>
      </c>
    </row>
    <row r="52" spans="1:4" s="264" customFormat="1" ht="25.5">
      <c r="A52" s="379"/>
      <c r="B52" s="343" t="s">
        <v>1423</v>
      </c>
      <c r="C52" s="270" t="s">
        <v>51</v>
      </c>
      <c r="D52" s="300">
        <f>ROUND(D51*1.03,2)</f>
        <v>439.5</v>
      </c>
    </row>
    <row r="53" spans="1:4" s="264" customFormat="1" ht="25.5">
      <c r="A53" s="379">
        <v>20</v>
      </c>
      <c r="B53" s="41" t="s">
        <v>181</v>
      </c>
      <c r="C53" s="39" t="s">
        <v>51</v>
      </c>
      <c r="D53" s="363">
        <v>16.4</v>
      </c>
    </row>
    <row r="54" spans="1:4" s="264" customFormat="1" ht="12.75">
      <c r="A54" s="379"/>
      <c r="B54" s="375" t="s">
        <v>149</v>
      </c>
      <c r="C54" s="390"/>
      <c r="D54" s="300"/>
    </row>
    <row r="55" spans="1:4" s="264" customFormat="1" ht="12.75">
      <c r="A55" s="379">
        <v>21</v>
      </c>
      <c r="B55" s="279" t="s">
        <v>146</v>
      </c>
      <c r="C55" s="270" t="s">
        <v>51</v>
      </c>
      <c r="D55" s="300">
        <f>13.3+99.4+72.2+76.3+25.5</f>
        <v>286.7</v>
      </c>
    </row>
    <row r="56" spans="1:4" s="264" customFormat="1" ht="25.5">
      <c r="A56" s="379">
        <v>22</v>
      </c>
      <c r="B56" s="279" t="s">
        <v>1386</v>
      </c>
      <c r="C56" s="270" t="s">
        <v>51</v>
      </c>
      <c r="D56" s="300">
        <f>D55</f>
        <v>286.7</v>
      </c>
    </row>
    <row r="57" spans="1:4" s="264" customFormat="1" ht="12.75">
      <c r="A57" s="379"/>
      <c r="B57" s="375" t="s">
        <v>150</v>
      </c>
      <c r="C57" s="390"/>
      <c r="D57" s="300"/>
    </row>
    <row r="58" spans="1:4" s="264" customFormat="1" ht="12.75">
      <c r="A58" s="379">
        <v>23</v>
      </c>
      <c r="B58" s="377" t="s">
        <v>142</v>
      </c>
      <c r="C58" s="270" t="s">
        <v>51</v>
      </c>
      <c r="D58" s="300">
        <f>1003.6+984.9+681.9+262.9</f>
        <v>2933.3</v>
      </c>
    </row>
    <row r="59" spans="1:4" s="264" customFormat="1" ht="25.5">
      <c r="A59" s="379"/>
      <c r="B59" s="343" t="s">
        <v>1429</v>
      </c>
      <c r="C59" s="270" t="s">
        <v>51</v>
      </c>
      <c r="D59" s="300">
        <f>ROUND(D58*1.03,2)</f>
        <v>3021.3</v>
      </c>
    </row>
    <row r="60" spans="1:4" s="264" customFormat="1" ht="12.75">
      <c r="A60" s="379">
        <v>24</v>
      </c>
      <c r="B60" s="384" t="s">
        <v>1424</v>
      </c>
      <c r="C60" s="270" t="s">
        <v>51</v>
      </c>
      <c r="D60" s="300">
        <f>D58</f>
        <v>2933.3</v>
      </c>
    </row>
    <row r="61" spans="1:4" s="264" customFormat="1" ht="12.75">
      <c r="A61" s="379"/>
      <c r="B61" s="343" t="s">
        <v>143</v>
      </c>
      <c r="C61" s="270" t="s">
        <v>51</v>
      </c>
      <c r="D61" s="300">
        <f>ROUND(1.15*D60,2)</f>
        <v>3373.3</v>
      </c>
    </row>
    <row r="62" spans="1:4" s="264" customFormat="1" ht="51">
      <c r="A62" s="379">
        <v>25</v>
      </c>
      <c r="B62" s="378" t="s">
        <v>185</v>
      </c>
      <c r="C62" s="270" t="s">
        <v>51</v>
      </c>
      <c r="D62" s="300">
        <f>D58</f>
        <v>2933.3</v>
      </c>
    </row>
    <row r="63" spans="1:4" s="264" customFormat="1" ht="12.75">
      <c r="A63" s="379"/>
      <c r="B63" s="375" t="s">
        <v>151</v>
      </c>
      <c r="C63" s="390"/>
      <c r="D63" s="391"/>
    </row>
    <row r="64" spans="1:4" s="264" customFormat="1" ht="12.75">
      <c r="A64" s="379">
        <v>26.1</v>
      </c>
      <c r="B64" s="388" t="s">
        <v>1482</v>
      </c>
      <c r="C64" s="389" t="s">
        <v>51</v>
      </c>
      <c r="D64" s="300">
        <f>176.4+60.8+86.6</f>
        <v>323.79999999999995</v>
      </c>
    </row>
    <row r="65" spans="1:4" s="264" customFormat="1" ht="12.75">
      <c r="A65" s="379">
        <v>26</v>
      </c>
      <c r="B65" s="279" t="s">
        <v>182</v>
      </c>
      <c r="C65" s="273" t="s">
        <v>51</v>
      </c>
      <c r="D65" s="303">
        <f>D64</f>
        <v>323.79999999999995</v>
      </c>
    </row>
    <row r="66" spans="1:4" s="264" customFormat="1" ht="12.75">
      <c r="A66" s="379"/>
      <c r="B66" s="376" t="s">
        <v>195</v>
      </c>
      <c r="C66" s="39" t="s">
        <v>51</v>
      </c>
      <c r="D66" s="363">
        <f>D65</f>
        <v>323.79999999999995</v>
      </c>
    </row>
    <row r="67" spans="1:4" s="264" customFormat="1" ht="12.75">
      <c r="A67" s="379">
        <v>27</v>
      </c>
      <c r="B67" s="377" t="s">
        <v>142</v>
      </c>
      <c r="C67" s="270" t="s">
        <v>51</v>
      </c>
      <c r="D67" s="300">
        <f>D64</f>
        <v>323.79999999999995</v>
      </c>
    </row>
    <row r="68" spans="1:4" s="264" customFormat="1" ht="25.5">
      <c r="A68" s="379"/>
      <c r="B68" s="343" t="s">
        <v>1429</v>
      </c>
      <c r="C68" s="270" t="s">
        <v>51</v>
      </c>
      <c r="D68" s="300">
        <f>ROUND(D67*1.03,2)</f>
        <v>333.51</v>
      </c>
    </row>
    <row r="69" spans="1:4" s="264" customFormat="1" ht="25.5">
      <c r="A69" s="379">
        <v>28</v>
      </c>
      <c r="B69" s="41" t="s">
        <v>181</v>
      </c>
      <c r="C69" s="39" t="s">
        <v>51</v>
      </c>
      <c r="D69" s="363">
        <v>17.7</v>
      </c>
    </row>
    <row r="70" spans="1:4" s="264" customFormat="1" ht="12.75">
      <c r="A70" s="379"/>
      <c r="B70" s="348" t="s">
        <v>1</v>
      </c>
      <c r="C70" s="39"/>
      <c r="D70" s="363"/>
    </row>
    <row r="71" spans="1:4" s="264" customFormat="1" ht="153">
      <c r="A71" s="273"/>
      <c r="B71" s="269" t="s">
        <v>1468</v>
      </c>
      <c r="C71" s="349" t="s">
        <v>2</v>
      </c>
      <c r="D71" s="367">
        <v>1</v>
      </c>
    </row>
    <row r="72" spans="1:4" ht="15">
      <c r="A72" s="284"/>
      <c r="B72" s="541" t="s">
        <v>13</v>
      </c>
      <c r="C72" s="542"/>
      <c r="D72" s="285"/>
    </row>
    <row r="73" spans="2:4" ht="15">
      <c r="B73" s="254"/>
      <c r="C73" s="254"/>
      <c r="D73" s="254"/>
    </row>
    <row r="74" spans="1:4" s="264" customFormat="1" ht="12.75">
      <c r="A74" s="287" t="s">
        <v>14</v>
      </c>
      <c r="B74" s="288"/>
      <c r="C74" s="286"/>
      <c r="D74" s="286"/>
    </row>
    <row r="75" spans="1:4" s="264" customFormat="1" ht="12.75">
      <c r="A75" s="289"/>
      <c r="B75" s="290" t="s">
        <v>4</v>
      </c>
      <c r="C75" s="286"/>
      <c r="D75" s="286"/>
    </row>
    <row r="76" spans="1:4" s="264" customFormat="1" ht="12.75">
      <c r="A76" s="289"/>
      <c r="B76" s="291"/>
      <c r="C76" s="286"/>
      <c r="D76" s="286"/>
    </row>
    <row r="77" spans="1:4" s="264" customFormat="1" ht="12.75">
      <c r="A77" s="287" t="s">
        <v>6</v>
      </c>
      <c r="B77" s="288"/>
      <c r="C77" s="286"/>
      <c r="D77" s="286"/>
    </row>
    <row r="78" spans="1:4" s="264" customFormat="1" ht="12.75">
      <c r="A78" s="289"/>
      <c r="B78" s="290" t="s">
        <v>4</v>
      </c>
      <c r="C78" s="286"/>
      <c r="D78" s="286"/>
    </row>
    <row r="79" spans="1:4" s="264" customFormat="1" ht="12.75">
      <c r="A79" s="289" t="s">
        <v>5</v>
      </c>
      <c r="B79" s="351"/>
      <c r="C79" s="286"/>
      <c r="D79" s="286"/>
    </row>
    <row r="80" spans="1:4" ht="15">
      <c r="A80" s="392"/>
      <c r="B80" s="291"/>
      <c r="D80" s="286"/>
    </row>
  </sheetData>
  <sheetProtection/>
  <mergeCells count="7">
    <mergeCell ref="A6:D6"/>
    <mergeCell ref="A7:D7"/>
    <mergeCell ref="B72:C72"/>
    <mergeCell ref="A1:D1"/>
    <mergeCell ref="A2:D2"/>
    <mergeCell ref="A3:D3"/>
    <mergeCell ref="A5:D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0000"/>
  </sheetPr>
  <dimension ref="A1:D58"/>
  <sheetViews>
    <sheetView showZeros="0" view="pageBreakPreview" zoomScale="145" zoomScaleSheetLayoutView="145" zoomScalePageLayoutView="0" workbookViewId="0" topLeftCell="A46">
      <selection activeCell="B24" sqref="B24"/>
    </sheetView>
  </sheetViews>
  <sheetFormatPr defaultColWidth="11.421875" defaultRowHeight="15"/>
  <cols>
    <col min="1" max="1" width="8.28125" style="286" customWidth="1"/>
    <col min="2" max="2" width="54.8515625" style="286" customWidth="1"/>
    <col min="3" max="3" width="11.140625" style="286" customWidth="1"/>
    <col min="4" max="4" width="11.421875" style="293" customWidth="1"/>
    <col min="5" max="16384" width="11.421875" style="254" customWidth="1"/>
  </cols>
  <sheetData>
    <row r="1" spans="1:4" ht="15.75">
      <c r="A1" s="544" t="s">
        <v>1481</v>
      </c>
      <c r="B1" s="544"/>
      <c r="C1" s="544"/>
      <c r="D1" s="544"/>
    </row>
    <row r="2" spans="1:4" ht="15">
      <c r="A2" s="545" t="s">
        <v>1480</v>
      </c>
      <c r="B2" s="545"/>
      <c r="C2" s="545"/>
      <c r="D2" s="545"/>
    </row>
    <row r="3" spans="1:4" ht="15">
      <c r="A3" s="546" t="s">
        <v>1452</v>
      </c>
      <c r="B3" s="546"/>
      <c r="C3" s="546"/>
      <c r="D3" s="546"/>
    </row>
    <row r="4" spans="1:4" ht="15">
      <c r="A4" s="255"/>
      <c r="B4" s="255"/>
      <c r="C4" s="255"/>
      <c r="D4" s="255"/>
    </row>
    <row r="5" spans="1:4" s="264" customFormat="1" ht="31.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
      <c r="A9" s="548"/>
      <c r="B9" s="548"/>
      <c r="C9" s="548"/>
      <c r="D9" s="548"/>
    </row>
    <row r="10" spans="1:4" ht="15">
      <c r="A10" s="550" t="s">
        <v>1456</v>
      </c>
      <c r="B10" s="550"/>
      <c r="C10" s="552"/>
      <c r="D10" s="552"/>
    </row>
    <row r="11" spans="1:4" ht="15">
      <c r="A11" s="307"/>
      <c r="B11" s="307"/>
      <c r="C11" s="307"/>
      <c r="D11" s="307"/>
    </row>
    <row r="12" spans="1:4" ht="48.75" customHeight="1">
      <c r="A12" s="309" t="s">
        <v>886</v>
      </c>
      <c r="B12" s="299" t="s">
        <v>1455</v>
      </c>
      <c r="C12" s="309" t="s">
        <v>1464</v>
      </c>
      <c r="D12" s="299" t="s">
        <v>1465</v>
      </c>
    </row>
    <row r="13" spans="1:4" ht="15">
      <c r="A13" s="299">
        <v>1</v>
      </c>
      <c r="B13" s="299">
        <v>2</v>
      </c>
      <c r="C13" s="299">
        <v>3</v>
      </c>
      <c r="D13" s="299">
        <v>4</v>
      </c>
    </row>
    <row r="14" spans="1:4" s="264" customFormat="1" ht="12.75">
      <c r="A14" s="265"/>
      <c r="B14" s="261" t="s">
        <v>201</v>
      </c>
      <c r="C14" s="281"/>
      <c r="D14" s="314"/>
    </row>
    <row r="15" spans="1:4" s="387" customFormat="1" ht="94.5" customHeight="1">
      <c r="A15" s="409">
        <v>1</v>
      </c>
      <c r="B15" s="384" t="s">
        <v>1358</v>
      </c>
      <c r="C15" s="318" t="s">
        <v>51</v>
      </c>
      <c r="D15" s="300">
        <f>66.15+45.89+32.13+1.47+2.52+79.38</f>
        <v>227.54000000000002</v>
      </c>
    </row>
    <row r="16" spans="1:4" s="387" customFormat="1" ht="12.75">
      <c r="A16" s="310"/>
      <c r="B16" s="311" t="s">
        <v>1430</v>
      </c>
      <c r="C16" s="318" t="s">
        <v>61</v>
      </c>
      <c r="D16" s="300">
        <v>30</v>
      </c>
    </row>
    <row r="17" spans="1:4" s="387" customFormat="1" ht="12.75">
      <c r="A17" s="310"/>
      <c r="B17" s="311" t="s">
        <v>1431</v>
      </c>
      <c r="C17" s="318" t="s">
        <v>61</v>
      </c>
      <c r="D17" s="300">
        <v>23</v>
      </c>
    </row>
    <row r="18" spans="1:4" s="387" customFormat="1" ht="12.75">
      <c r="A18" s="310"/>
      <c r="B18" s="311" t="s">
        <v>1432</v>
      </c>
      <c r="C18" s="318" t="s">
        <v>61</v>
      </c>
      <c r="D18" s="300">
        <v>17</v>
      </c>
    </row>
    <row r="19" spans="1:4" s="387" customFormat="1" ht="12.75">
      <c r="A19" s="310"/>
      <c r="B19" s="311" t="s">
        <v>205</v>
      </c>
      <c r="C19" s="318" t="s">
        <v>61</v>
      </c>
      <c r="D19" s="300">
        <v>1</v>
      </c>
    </row>
    <row r="20" spans="1:4" s="387" customFormat="1" ht="25.5">
      <c r="A20" s="310"/>
      <c r="B20" s="311" t="s">
        <v>1433</v>
      </c>
      <c r="C20" s="318" t="s">
        <v>61</v>
      </c>
      <c r="D20" s="300">
        <v>1</v>
      </c>
    </row>
    <row r="21" spans="1:4" s="387" customFormat="1" ht="12.75">
      <c r="A21" s="310"/>
      <c r="B21" s="311" t="s">
        <v>1434</v>
      </c>
      <c r="C21" s="318" t="s">
        <v>61</v>
      </c>
      <c r="D21" s="300">
        <v>36</v>
      </c>
    </row>
    <row r="22" spans="1:4" s="387" customFormat="1" ht="12.75">
      <c r="A22" s="409"/>
      <c r="B22" s="311" t="s">
        <v>202</v>
      </c>
      <c r="C22" s="318" t="s">
        <v>15</v>
      </c>
      <c r="D22" s="300">
        <f>ROUND(D15*0.5,0)</f>
        <v>114</v>
      </c>
    </row>
    <row r="23" spans="1:4" s="387" customFormat="1" ht="12.75">
      <c r="A23" s="409"/>
      <c r="B23" s="311" t="s">
        <v>203</v>
      </c>
      <c r="C23" s="318" t="s">
        <v>15</v>
      </c>
      <c r="D23" s="300">
        <f>D16+D17+D18+D19+D20+D21</f>
        <v>108</v>
      </c>
    </row>
    <row r="24" spans="1:4" s="387" customFormat="1" ht="51">
      <c r="A24" s="409">
        <v>2</v>
      </c>
      <c r="B24" s="333" t="s">
        <v>1491</v>
      </c>
      <c r="C24" s="318" t="s">
        <v>15</v>
      </c>
      <c r="D24" s="300">
        <v>23</v>
      </c>
    </row>
    <row r="25" spans="1:4" s="387" customFormat="1" ht="51">
      <c r="A25" s="409">
        <v>3</v>
      </c>
      <c r="B25" s="384" t="s">
        <v>209</v>
      </c>
      <c r="C25" s="318" t="s">
        <v>51</v>
      </c>
      <c r="D25" s="300">
        <v>8.1</v>
      </c>
    </row>
    <row r="26" spans="1:4" s="387" customFormat="1" ht="38.25">
      <c r="A26" s="409"/>
      <c r="B26" s="311" t="s">
        <v>1435</v>
      </c>
      <c r="C26" s="318" t="s">
        <v>15</v>
      </c>
      <c r="D26" s="300">
        <v>1</v>
      </c>
    </row>
    <row r="27" spans="1:4" s="387" customFormat="1" ht="25.5">
      <c r="A27" s="409"/>
      <c r="B27" s="311" t="s">
        <v>1436</v>
      </c>
      <c r="C27" s="318" t="s">
        <v>15</v>
      </c>
      <c r="D27" s="300">
        <v>1</v>
      </c>
    </row>
    <row r="28" spans="1:4" s="387" customFormat="1" ht="12.75">
      <c r="A28" s="409"/>
      <c r="B28" s="311" t="s">
        <v>210</v>
      </c>
      <c r="C28" s="318" t="s">
        <v>15</v>
      </c>
      <c r="D28" s="300">
        <f>ROUND(D25*0.5,0)</f>
        <v>4</v>
      </c>
    </row>
    <row r="29" spans="1:4" s="387" customFormat="1" ht="12.75">
      <c r="A29" s="409"/>
      <c r="B29" s="311" t="s">
        <v>203</v>
      </c>
      <c r="C29" s="318" t="s">
        <v>15</v>
      </c>
      <c r="D29" s="300">
        <f>D26</f>
        <v>1</v>
      </c>
    </row>
    <row r="30" spans="1:4" s="387" customFormat="1" ht="76.5">
      <c r="A30" s="320">
        <v>4</v>
      </c>
      <c r="B30" s="384" t="s">
        <v>208</v>
      </c>
      <c r="C30" s="318" t="s">
        <v>51</v>
      </c>
      <c r="D30" s="300">
        <f>27.26+15.44+1.89+3.57+2.94+6.62+6.82</f>
        <v>64.53999999999999</v>
      </c>
    </row>
    <row r="31" spans="1:4" s="387" customFormat="1" ht="51">
      <c r="A31" s="320"/>
      <c r="B31" s="311" t="s">
        <v>1437</v>
      </c>
      <c r="C31" s="318" t="s">
        <v>15</v>
      </c>
      <c r="D31" s="300">
        <v>10</v>
      </c>
    </row>
    <row r="32" spans="1:4" s="387" customFormat="1" ht="38.25">
      <c r="A32" s="320"/>
      <c r="B32" s="311" t="s">
        <v>1438</v>
      </c>
      <c r="C32" s="318" t="s">
        <v>15</v>
      </c>
      <c r="D32" s="300">
        <v>7</v>
      </c>
    </row>
    <row r="33" spans="1:4" s="387" customFormat="1" ht="38.25">
      <c r="A33" s="320"/>
      <c r="B33" s="311" t="s">
        <v>1439</v>
      </c>
      <c r="C33" s="318" t="s">
        <v>15</v>
      </c>
      <c r="D33" s="300">
        <v>1</v>
      </c>
    </row>
    <row r="34" spans="1:4" s="387" customFormat="1" ht="38.25">
      <c r="A34" s="320"/>
      <c r="B34" s="311" t="s">
        <v>1440</v>
      </c>
      <c r="C34" s="318" t="s">
        <v>15</v>
      </c>
      <c r="D34" s="300">
        <v>2</v>
      </c>
    </row>
    <row r="35" spans="1:4" s="387" customFormat="1" ht="63.75">
      <c r="A35" s="320"/>
      <c r="B35" s="311" t="s">
        <v>1441</v>
      </c>
      <c r="C35" s="318" t="s">
        <v>15</v>
      </c>
      <c r="D35" s="300">
        <v>1</v>
      </c>
    </row>
    <row r="36" spans="1:4" s="387" customFormat="1" ht="38.25">
      <c r="A36" s="320"/>
      <c r="B36" s="311" t="s">
        <v>1442</v>
      </c>
      <c r="C36" s="318" t="s">
        <v>15</v>
      </c>
      <c r="D36" s="300">
        <v>3</v>
      </c>
    </row>
    <row r="37" spans="1:4" s="387" customFormat="1" ht="12.75">
      <c r="A37" s="320"/>
      <c r="B37" s="311" t="s">
        <v>204</v>
      </c>
      <c r="C37" s="318" t="s">
        <v>15</v>
      </c>
      <c r="D37" s="300">
        <f>ROUND(D30*0.5,0)</f>
        <v>32</v>
      </c>
    </row>
    <row r="38" spans="1:4" s="387" customFormat="1" ht="12.75">
      <c r="A38" s="320"/>
      <c r="B38" s="311" t="s">
        <v>203</v>
      </c>
      <c r="C38" s="318" t="s">
        <v>15</v>
      </c>
      <c r="D38" s="300">
        <f>D31+D32+D33+D34+D35+D36</f>
        <v>24</v>
      </c>
    </row>
    <row r="39" spans="1:4" s="264" customFormat="1" ht="89.25">
      <c r="A39" s="379">
        <v>5</v>
      </c>
      <c r="B39" s="384" t="s">
        <v>207</v>
      </c>
      <c r="C39" s="318" t="s">
        <v>51</v>
      </c>
      <c r="D39" s="300">
        <v>4</v>
      </c>
    </row>
    <row r="40" spans="1:4" s="264" customFormat="1" ht="12.75">
      <c r="A40" s="379"/>
      <c r="B40" s="311" t="s">
        <v>206</v>
      </c>
      <c r="C40" s="318" t="s">
        <v>15</v>
      </c>
      <c r="D40" s="300">
        <v>1</v>
      </c>
    </row>
    <row r="41" spans="1:4" s="264" customFormat="1" ht="12.75">
      <c r="A41" s="379"/>
      <c r="B41" s="311" t="s">
        <v>204</v>
      </c>
      <c r="C41" s="318" t="s">
        <v>15</v>
      </c>
      <c r="D41" s="300">
        <f>ROUND(D39*0.5,0)</f>
        <v>2</v>
      </c>
    </row>
    <row r="42" spans="1:4" s="264" customFormat="1" ht="12.75">
      <c r="A42" s="379"/>
      <c r="B42" s="311" t="s">
        <v>203</v>
      </c>
      <c r="C42" s="318" t="s">
        <v>15</v>
      </c>
      <c r="D42" s="300">
        <f>D40</f>
        <v>1</v>
      </c>
    </row>
    <row r="43" spans="1:4" s="412" customFormat="1" ht="76.5">
      <c r="A43" s="379">
        <v>6</v>
      </c>
      <c r="B43" s="410" t="s">
        <v>211</v>
      </c>
      <c r="C43" s="411" t="s">
        <v>51</v>
      </c>
      <c r="D43" s="413">
        <v>73.71</v>
      </c>
    </row>
    <row r="44" spans="1:4" s="412" customFormat="1" ht="12.75">
      <c r="A44" s="379"/>
      <c r="B44" s="311" t="s">
        <v>1443</v>
      </c>
      <c r="C44" s="318" t="s">
        <v>15</v>
      </c>
      <c r="D44" s="300">
        <v>6</v>
      </c>
    </row>
    <row r="45" spans="1:4" s="412" customFormat="1" ht="12.75">
      <c r="A45" s="379"/>
      <c r="B45" s="311" t="s">
        <v>1444</v>
      </c>
      <c r="C45" s="318" t="s">
        <v>15</v>
      </c>
      <c r="D45" s="300">
        <v>3</v>
      </c>
    </row>
    <row r="46" spans="1:4" s="264" customFormat="1" ht="12.75">
      <c r="A46" s="379"/>
      <c r="B46" s="311" t="s">
        <v>204</v>
      </c>
      <c r="C46" s="318" t="s">
        <v>15</v>
      </c>
      <c r="D46" s="300">
        <f>ROUND(D43*0.5,0)</f>
        <v>37</v>
      </c>
    </row>
    <row r="47" spans="1:4" s="264" customFormat="1" ht="12.75">
      <c r="A47" s="379">
        <v>7</v>
      </c>
      <c r="B47" s="333" t="s">
        <v>864</v>
      </c>
      <c r="C47" s="318" t="s">
        <v>175</v>
      </c>
      <c r="D47" s="300">
        <v>18</v>
      </c>
    </row>
    <row r="48" spans="1:4" s="264" customFormat="1" ht="12.75">
      <c r="A48" s="273" t="s">
        <v>0</v>
      </c>
      <c r="B48" s="348" t="s">
        <v>1</v>
      </c>
      <c r="C48" s="349"/>
      <c r="D48" s="350"/>
    </row>
    <row r="49" spans="1:4" s="264" customFormat="1" ht="140.25">
      <c r="A49" s="273"/>
      <c r="B49" s="269" t="s">
        <v>1468</v>
      </c>
      <c r="C49" s="349" t="s">
        <v>2</v>
      </c>
      <c r="D49" s="367">
        <v>1</v>
      </c>
    </row>
    <row r="50" spans="1:4" ht="15">
      <c r="A50" s="284"/>
      <c r="B50" s="541" t="s">
        <v>13</v>
      </c>
      <c r="C50" s="542"/>
      <c r="D50" s="285"/>
    </row>
    <row r="51" spans="2:4" ht="15">
      <c r="B51" s="254"/>
      <c r="C51" s="254"/>
      <c r="D51" s="254"/>
    </row>
    <row r="52" spans="2:4" ht="15">
      <c r="B52" s="254"/>
      <c r="C52" s="254"/>
      <c r="D52" s="254"/>
    </row>
    <row r="53" spans="1:4" s="264" customFormat="1" ht="12.75">
      <c r="A53" s="287" t="s">
        <v>14</v>
      </c>
      <c r="B53" s="288"/>
      <c r="C53" s="286"/>
      <c r="D53" s="286"/>
    </row>
    <row r="54" spans="1:4" s="264" customFormat="1" ht="12.75">
      <c r="A54" s="289"/>
      <c r="B54" s="290" t="s">
        <v>4</v>
      </c>
      <c r="C54" s="286"/>
      <c r="D54" s="286"/>
    </row>
    <row r="55" spans="1:4" s="264" customFormat="1" ht="12.75">
      <c r="A55" s="289"/>
      <c r="B55" s="291"/>
      <c r="C55" s="286"/>
      <c r="D55" s="286"/>
    </row>
    <row r="56" spans="1:4" s="264" customFormat="1" ht="12.75">
      <c r="A56" s="287" t="s">
        <v>6</v>
      </c>
      <c r="B56" s="288"/>
      <c r="C56" s="286"/>
      <c r="D56" s="286"/>
    </row>
    <row r="57" spans="1:4" s="264" customFormat="1" ht="12.75">
      <c r="A57" s="289"/>
      <c r="B57" s="290" t="s">
        <v>4</v>
      </c>
      <c r="C57" s="286"/>
      <c r="D57" s="286"/>
    </row>
    <row r="58" spans="1:4" s="264" customFormat="1" ht="12.75">
      <c r="A58" s="289" t="s">
        <v>5</v>
      </c>
      <c r="B58" s="351"/>
      <c r="C58" s="286"/>
      <c r="D58" s="286"/>
    </row>
  </sheetData>
  <sheetProtection/>
  <mergeCells count="10">
    <mergeCell ref="B50:C50"/>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sheetPr>
  <dimension ref="A1:D109"/>
  <sheetViews>
    <sheetView showZeros="0" view="pageBreakPreview" zoomScale="145" zoomScaleSheetLayoutView="145" zoomScalePageLayoutView="0" workbookViewId="0" topLeftCell="A91">
      <selection activeCell="B99" sqref="B99"/>
    </sheetView>
  </sheetViews>
  <sheetFormatPr defaultColWidth="11.421875" defaultRowHeight="15"/>
  <cols>
    <col min="1" max="1" width="8.421875" style="286" customWidth="1"/>
    <col min="2" max="2" width="54.28125" style="286" customWidth="1"/>
    <col min="3" max="3" width="12.421875" style="286" customWidth="1"/>
    <col min="4" max="4" width="12.00390625" style="293" customWidth="1"/>
    <col min="5" max="16384" width="11.421875" style="254" customWidth="1"/>
  </cols>
  <sheetData>
    <row r="1" spans="1:4" ht="15.75">
      <c r="A1" s="544" t="s">
        <v>1492</v>
      </c>
      <c r="B1" s="544"/>
      <c r="C1" s="544"/>
      <c r="D1" s="544"/>
    </row>
    <row r="2" spans="1:4" ht="15">
      <c r="A2" s="545" t="s">
        <v>212</v>
      </c>
      <c r="B2" s="545"/>
      <c r="C2" s="545"/>
      <c r="D2" s="545"/>
    </row>
    <row r="3" spans="1:4" ht="15">
      <c r="A3" s="554" t="s">
        <v>1452</v>
      </c>
      <c r="B3" s="554"/>
      <c r="C3" s="554"/>
      <c r="D3" s="554"/>
    </row>
    <row r="4" spans="1:4" ht="15">
      <c r="A4" s="255"/>
      <c r="B4" s="255"/>
      <c r="C4" s="255"/>
      <c r="D4" s="255"/>
    </row>
    <row r="5" spans="1:4" s="264" customFormat="1" ht="31.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
      <c r="A9" s="553"/>
      <c r="B9" s="553"/>
      <c r="C9" s="552"/>
      <c r="D9" s="552"/>
    </row>
    <row r="10" spans="1:4" ht="15">
      <c r="A10" s="550" t="s">
        <v>1456</v>
      </c>
      <c r="B10" s="550"/>
      <c r="C10" s="307"/>
      <c r="D10" s="307"/>
    </row>
    <row r="11" spans="1:4" ht="15">
      <c r="A11" s="307"/>
      <c r="B11" s="307"/>
      <c r="C11" s="307"/>
      <c r="D11" s="307"/>
    </row>
    <row r="12" spans="1:4" ht="45" customHeight="1">
      <c r="A12" s="309" t="s">
        <v>886</v>
      </c>
      <c r="B12" s="299" t="s">
        <v>1455</v>
      </c>
      <c r="C12" s="309" t="s">
        <v>1464</v>
      </c>
      <c r="D12" s="299" t="s">
        <v>1465</v>
      </c>
    </row>
    <row r="13" spans="1:4" ht="13.5" customHeight="1">
      <c r="A13" s="260">
        <v>1</v>
      </c>
      <c r="B13" s="260">
        <v>2</v>
      </c>
      <c r="C13" s="260">
        <v>3</v>
      </c>
      <c r="D13" s="260">
        <v>4</v>
      </c>
    </row>
    <row r="14" spans="1:4" s="264" customFormat="1" ht="12.75">
      <c r="A14" s="265"/>
      <c r="B14" s="262" t="s">
        <v>152</v>
      </c>
      <c r="C14" s="281"/>
      <c r="D14" s="314"/>
    </row>
    <row r="15" spans="1:4" s="264" customFormat="1" ht="12.75">
      <c r="A15" s="265"/>
      <c r="B15" s="394" t="s">
        <v>180</v>
      </c>
      <c r="C15" s="281"/>
      <c r="D15" s="314"/>
    </row>
    <row r="16" spans="1:4" s="264" customFormat="1" ht="38.25">
      <c r="A16" s="414" t="s">
        <v>27</v>
      </c>
      <c r="B16" s="279" t="s">
        <v>153</v>
      </c>
      <c r="C16" s="270" t="s">
        <v>51</v>
      </c>
      <c r="D16" s="300">
        <v>589.7</v>
      </c>
    </row>
    <row r="17" spans="1:4" s="264" customFormat="1" ht="38.25">
      <c r="A17" s="280">
        <v>2</v>
      </c>
      <c r="B17" s="279" t="s">
        <v>154</v>
      </c>
      <c r="C17" s="270" t="s">
        <v>51</v>
      </c>
      <c r="D17" s="300">
        <f>2061.9+2021.54+172.5+229.6+199.5+123.6+75+39+33+1923+1557+699.6</f>
        <v>9135.240000000002</v>
      </c>
    </row>
    <row r="18" spans="1:4" s="264" customFormat="1" ht="12.75">
      <c r="A18" s="261"/>
      <c r="B18" s="343" t="s">
        <v>74</v>
      </c>
      <c r="C18" s="270" t="s">
        <v>75</v>
      </c>
      <c r="D18" s="300">
        <f>0.15*D17</f>
        <v>1370.2860000000003</v>
      </c>
    </row>
    <row r="19" spans="1:4" s="264" customFormat="1" ht="12.75">
      <c r="A19" s="261"/>
      <c r="B19" s="343" t="s">
        <v>155</v>
      </c>
      <c r="C19" s="270" t="s">
        <v>65</v>
      </c>
      <c r="D19" s="300">
        <f>1.6*D17</f>
        <v>14616.384000000004</v>
      </c>
    </row>
    <row r="20" spans="1:4" s="264" customFormat="1" ht="12.75">
      <c r="A20" s="265"/>
      <c r="B20" s="343" t="s">
        <v>76</v>
      </c>
      <c r="C20" s="270" t="s">
        <v>51</v>
      </c>
      <c r="D20" s="300">
        <f>0.05*D17</f>
        <v>456.7620000000001</v>
      </c>
    </row>
    <row r="21" spans="1:4" s="264" customFormat="1" ht="38.25">
      <c r="A21" s="265">
        <v>3</v>
      </c>
      <c r="B21" s="279" t="s">
        <v>159</v>
      </c>
      <c r="C21" s="270" t="s">
        <v>51</v>
      </c>
      <c r="D21" s="300">
        <f>1563.46+1617.49+149.5+618.35+101.2+180.75+123.6+75+39+33+1593.4+1499+688.9</f>
        <v>8282.65</v>
      </c>
    </row>
    <row r="22" spans="1:4" s="264" customFormat="1" ht="12.75">
      <c r="A22" s="265"/>
      <c r="B22" s="343" t="s">
        <v>163</v>
      </c>
      <c r="C22" s="270" t="s">
        <v>75</v>
      </c>
      <c r="D22" s="300">
        <f>0.35*D21</f>
        <v>2898.9275</v>
      </c>
    </row>
    <row r="23" spans="1:4" s="264" customFormat="1" ht="51">
      <c r="A23" s="379">
        <v>4</v>
      </c>
      <c r="B23" s="377" t="s">
        <v>1279</v>
      </c>
      <c r="C23" s="270" t="s">
        <v>51</v>
      </c>
      <c r="D23" s="300">
        <f>296.88+108.99+2.24+117.6+15.75+113.4+84.63+2.24</f>
        <v>741.73</v>
      </c>
    </row>
    <row r="24" spans="1:4" s="264" customFormat="1" ht="12.75">
      <c r="A24" s="379"/>
      <c r="B24" s="343" t="s">
        <v>156</v>
      </c>
      <c r="C24" s="270" t="s">
        <v>75</v>
      </c>
      <c r="D24" s="303">
        <f>ROUND(D23*0.15,2)</f>
        <v>111.26</v>
      </c>
    </row>
    <row r="25" spans="1:4" s="264" customFormat="1" ht="12.75">
      <c r="A25" s="379"/>
      <c r="B25" s="343" t="s">
        <v>1387</v>
      </c>
      <c r="C25" s="270" t="s">
        <v>51</v>
      </c>
      <c r="D25" s="303">
        <f>ROUND(D23*1.08,2)</f>
        <v>801.07</v>
      </c>
    </row>
    <row r="26" spans="1:4" s="264" customFormat="1" ht="12.75">
      <c r="A26" s="379"/>
      <c r="B26" s="343" t="s">
        <v>157</v>
      </c>
      <c r="C26" s="270" t="s">
        <v>65</v>
      </c>
      <c r="D26" s="303">
        <f>ROUND(D23*4.5,2)</f>
        <v>3337.79</v>
      </c>
    </row>
    <row r="27" spans="1:4" s="264" customFormat="1" ht="12.75">
      <c r="A27" s="379"/>
      <c r="B27" s="343" t="s">
        <v>158</v>
      </c>
      <c r="C27" s="270" t="s">
        <v>65</v>
      </c>
      <c r="D27" s="303">
        <f>ROUND(D23*0.5,2)</f>
        <v>370.87</v>
      </c>
    </row>
    <row r="28" spans="1:4" s="264" customFormat="1" ht="12.75">
      <c r="A28" s="379"/>
      <c r="B28" s="415" t="s">
        <v>1493</v>
      </c>
      <c r="C28" s="416"/>
      <c r="D28" s="391"/>
    </row>
    <row r="29" spans="1:4" s="264" customFormat="1" ht="12.75">
      <c r="A29" s="379">
        <v>5</v>
      </c>
      <c r="B29" s="377" t="s">
        <v>1388</v>
      </c>
      <c r="C29" s="280" t="s">
        <v>51</v>
      </c>
      <c r="D29" s="300">
        <f>1097.85+1154.4+72.1+426.7+63.35+52.4+37.5+38.1+8.6+9+1057.1+1082+288.4</f>
        <v>5387.499999999999</v>
      </c>
    </row>
    <row r="30" spans="1:4" s="264" customFormat="1" ht="51">
      <c r="A30" s="379">
        <v>6</v>
      </c>
      <c r="B30" s="279" t="s">
        <v>161</v>
      </c>
      <c r="C30" s="270" t="s">
        <v>51</v>
      </c>
      <c r="D30" s="300">
        <f>D29</f>
        <v>5387.499999999999</v>
      </c>
    </row>
    <row r="31" spans="1:4" s="264" customFormat="1" ht="12.75">
      <c r="A31" s="379"/>
      <c r="B31" s="343" t="s">
        <v>74</v>
      </c>
      <c r="C31" s="270" t="s">
        <v>75</v>
      </c>
      <c r="D31" s="300">
        <f>0.15*D30</f>
        <v>808.1249999999999</v>
      </c>
    </row>
    <row r="32" spans="1:4" s="264" customFormat="1" ht="12.75">
      <c r="A32" s="379"/>
      <c r="B32" s="343" t="s">
        <v>160</v>
      </c>
      <c r="C32" s="270" t="s">
        <v>54</v>
      </c>
      <c r="D32" s="300">
        <f>ROUND((1097.85+1154.4+72.1+426.7+63.35+52.4+37.5+38.1+8.6+9+1057.1+1082+288.4-7.5-8.2-7.5-7.5-20)*0.02,)</f>
        <v>107</v>
      </c>
    </row>
    <row r="33" spans="1:4" s="264" customFormat="1" ht="25.5">
      <c r="A33" s="379"/>
      <c r="B33" s="343" t="s">
        <v>1411</v>
      </c>
      <c r="C33" s="270" t="s">
        <v>54</v>
      </c>
      <c r="D33" s="300">
        <f>ROUND((7.5+8.2+7.5+7.5+20)*0.025,2)</f>
        <v>1.27</v>
      </c>
    </row>
    <row r="34" spans="1:4" s="264" customFormat="1" ht="51">
      <c r="A34" s="379">
        <v>7</v>
      </c>
      <c r="B34" s="279" t="s">
        <v>167</v>
      </c>
      <c r="C34" s="270" t="s">
        <v>51</v>
      </c>
      <c r="D34" s="300">
        <f>11+7.5+8.2+24+40+11+34.4+3.3+3.3+4.4+6+2.4+24+3.4+40+2+2+2+2+2+2+2+2+9.4+9.9+40+10.7</f>
        <v>308.90000000000003</v>
      </c>
    </row>
    <row r="35" spans="1:4" s="264" customFormat="1" ht="12.75">
      <c r="A35" s="379"/>
      <c r="B35" s="343" t="s">
        <v>67</v>
      </c>
      <c r="C35" s="270" t="s">
        <v>51</v>
      </c>
      <c r="D35" s="303">
        <f>ROUND(D34*1.03,2)</f>
        <v>318.17</v>
      </c>
    </row>
    <row r="36" spans="1:4" s="264" customFormat="1" ht="12.75">
      <c r="A36" s="379"/>
      <c r="B36" s="343" t="s">
        <v>68</v>
      </c>
      <c r="C36" s="270" t="s">
        <v>15</v>
      </c>
      <c r="D36" s="303">
        <v>618</v>
      </c>
    </row>
    <row r="37" spans="1:4" s="264" customFormat="1" ht="12.75">
      <c r="A37" s="379"/>
      <c r="B37" s="417" t="s">
        <v>164</v>
      </c>
      <c r="C37" s="270" t="s">
        <v>51</v>
      </c>
      <c r="D37" s="303">
        <f>ROUND(D34*2.1,2)</f>
        <v>648.69</v>
      </c>
    </row>
    <row r="38" spans="1:4" s="264" customFormat="1" ht="12.75">
      <c r="A38" s="379"/>
      <c r="B38" s="343" t="s">
        <v>69</v>
      </c>
      <c r="C38" s="270" t="s">
        <v>15</v>
      </c>
      <c r="D38" s="303">
        <v>4634</v>
      </c>
    </row>
    <row r="39" spans="1:4" s="264" customFormat="1" ht="12.75">
      <c r="A39" s="379"/>
      <c r="B39" s="343" t="s">
        <v>165</v>
      </c>
      <c r="C39" s="270" t="s">
        <v>12</v>
      </c>
      <c r="D39" s="303">
        <f>ROUND(D34*1.5,2)</f>
        <v>463.35</v>
      </c>
    </row>
    <row r="40" spans="1:4" s="264" customFormat="1" ht="12.75">
      <c r="A40" s="379"/>
      <c r="B40" s="343" t="s">
        <v>166</v>
      </c>
      <c r="C40" s="270" t="s">
        <v>65</v>
      </c>
      <c r="D40" s="303">
        <f>ROUND(D34*0.8,2)</f>
        <v>247.12</v>
      </c>
    </row>
    <row r="41" spans="1:4" s="264" customFormat="1" ht="38.25">
      <c r="A41" s="379">
        <v>8</v>
      </c>
      <c r="B41" s="279" t="s">
        <v>172</v>
      </c>
      <c r="C41" s="270" t="s">
        <v>51</v>
      </c>
      <c r="D41" s="300">
        <f>2.6+1.5+2.6+2.3+1.5+3.3+12.5+8.3+11.2+4.3+4.3+1.6+1.9+9.2+8.1+11.1+1+0.9+1+1.3+10.1+10.2</f>
        <v>110.79999999999998</v>
      </c>
    </row>
    <row r="42" spans="1:4" s="264" customFormat="1" ht="12.75">
      <c r="A42" s="379"/>
      <c r="B42" s="343" t="s">
        <v>67</v>
      </c>
      <c r="C42" s="270" t="s">
        <v>51</v>
      </c>
      <c r="D42" s="300">
        <f>1.03*D41</f>
        <v>114.12399999999998</v>
      </c>
    </row>
    <row r="43" spans="1:4" s="264" customFormat="1" ht="12.75">
      <c r="A43" s="379"/>
      <c r="B43" s="343" t="s">
        <v>68</v>
      </c>
      <c r="C43" s="270" t="s">
        <v>129</v>
      </c>
      <c r="D43" s="300">
        <v>222</v>
      </c>
    </row>
    <row r="44" spans="1:4" s="264" customFormat="1" ht="12.75">
      <c r="A44" s="379"/>
      <c r="B44" s="343" t="s">
        <v>1548</v>
      </c>
      <c r="C44" s="270" t="s">
        <v>51</v>
      </c>
      <c r="D44" s="300">
        <f>1.03*D41</f>
        <v>114.12399999999998</v>
      </c>
    </row>
    <row r="45" spans="1:4" s="264" customFormat="1" ht="12.75">
      <c r="A45" s="379"/>
      <c r="B45" s="343" t="s">
        <v>69</v>
      </c>
      <c r="C45" s="270" t="s">
        <v>129</v>
      </c>
      <c r="D45" s="300">
        <f>15*D41</f>
        <v>1661.9999999999998</v>
      </c>
    </row>
    <row r="46" spans="1:4" s="264" customFormat="1" ht="12.75">
      <c r="A46" s="379"/>
      <c r="B46" s="343" t="s">
        <v>165</v>
      </c>
      <c r="C46" s="270" t="s">
        <v>12</v>
      </c>
      <c r="D46" s="300">
        <f>1.5*D41</f>
        <v>166.2</v>
      </c>
    </row>
    <row r="47" spans="1:4" s="264" customFormat="1" ht="12.75">
      <c r="A47" s="379"/>
      <c r="B47" s="343" t="s">
        <v>166</v>
      </c>
      <c r="C47" s="270" t="s">
        <v>65</v>
      </c>
      <c r="D47" s="300">
        <f>0.8*D41</f>
        <v>88.63999999999999</v>
      </c>
    </row>
    <row r="48" spans="1:4" s="264" customFormat="1" ht="38.25">
      <c r="A48" s="379">
        <v>9</v>
      </c>
      <c r="B48" s="279" t="s">
        <v>162</v>
      </c>
      <c r="C48" s="270" t="s">
        <v>51</v>
      </c>
      <c r="D48" s="300">
        <f>255.25+180.4+37.7+426.7+63.35+52.4+37.5+38.1+8.6+9+504.2+215.7+104.7</f>
        <v>1933.6</v>
      </c>
    </row>
    <row r="49" spans="1:4" s="264" customFormat="1" ht="12.75">
      <c r="A49" s="379"/>
      <c r="B49" s="343" t="s">
        <v>74</v>
      </c>
      <c r="C49" s="270" t="s">
        <v>75</v>
      </c>
      <c r="D49" s="300">
        <f>0.15*D48</f>
        <v>290.03999999999996</v>
      </c>
    </row>
    <row r="50" spans="1:4" s="264" customFormat="1" ht="12.75">
      <c r="A50" s="379"/>
      <c r="B50" s="343" t="s">
        <v>155</v>
      </c>
      <c r="C50" s="270" t="s">
        <v>65</v>
      </c>
      <c r="D50" s="300">
        <f>1.6*D48</f>
        <v>3093.76</v>
      </c>
    </row>
    <row r="51" spans="1:4" s="264" customFormat="1" ht="12.75">
      <c r="A51" s="379"/>
      <c r="B51" s="343" t="s">
        <v>76</v>
      </c>
      <c r="C51" s="270" t="s">
        <v>51</v>
      </c>
      <c r="D51" s="300">
        <f>0.05*D48</f>
        <v>96.68</v>
      </c>
    </row>
    <row r="52" spans="1:4" s="264" customFormat="1" ht="12.75">
      <c r="A52" s="379"/>
      <c r="B52" s="343" t="s">
        <v>1401</v>
      </c>
      <c r="C52" s="270" t="s">
        <v>75</v>
      </c>
      <c r="D52" s="300">
        <f>0.35*D48</f>
        <v>676.7599999999999</v>
      </c>
    </row>
    <row r="53" spans="1:4" s="264" customFormat="1" ht="51">
      <c r="A53" s="379">
        <v>10</v>
      </c>
      <c r="B53" s="377" t="s">
        <v>1445</v>
      </c>
      <c r="C53" s="270" t="s">
        <v>51</v>
      </c>
      <c r="D53" s="300">
        <f>842.6+974+34.4+887.2+866.3+183.7</f>
        <v>3788.2</v>
      </c>
    </row>
    <row r="54" spans="1:4" s="264" customFormat="1" ht="14.25">
      <c r="A54" s="379"/>
      <c r="B54" s="394" t="s">
        <v>187</v>
      </c>
      <c r="C54" s="418"/>
      <c r="D54" s="432"/>
    </row>
    <row r="55" spans="1:4" s="387" customFormat="1" ht="12.75">
      <c r="A55" s="320">
        <v>11</v>
      </c>
      <c r="B55" s="419" t="s">
        <v>168</v>
      </c>
      <c r="C55" s="420" t="s">
        <v>51</v>
      </c>
      <c r="D55" s="433">
        <f>D57</f>
        <v>2772.5</v>
      </c>
    </row>
    <row r="56" spans="1:4" s="387" customFormat="1" ht="12.75">
      <c r="A56" s="320"/>
      <c r="B56" s="421" t="s">
        <v>1549</v>
      </c>
      <c r="C56" s="420" t="s">
        <v>65</v>
      </c>
      <c r="D56" s="433">
        <f>D55*3.9</f>
        <v>10812.75</v>
      </c>
    </row>
    <row r="57" spans="1:4" s="264" customFormat="1" ht="76.5">
      <c r="A57" s="379">
        <v>12</v>
      </c>
      <c r="B57" s="422" t="s">
        <v>1494</v>
      </c>
      <c r="C57" s="423" t="s">
        <v>51</v>
      </c>
      <c r="D57" s="433">
        <f>772.2+648.5+34.4+40.3+642.9+424.7+209.5</f>
        <v>2772.5</v>
      </c>
    </row>
    <row r="58" spans="1:4" s="264" customFormat="1" ht="12.75">
      <c r="A58" s="379"/>
      <c r="B58" s="424" t="s">
        <v>1389</v>
      </c>
      <c r="C58" s="423" t="s">
        <v>51</v>
      </c>
      <c r="D58" s="433">
        <f>D57*1.08</f>
        <v>2994.3</v>
      </c>
    </row>
    <row r="59" spans="1:4" s="264" customFormat="1" ht="12.75">
      <c r="A59" s="379"/>
      <c r="B59" s="424" t="s">
        <v>157</v>
      </c>
      <c r="C59" s="423" t="s">
        <v>65</v>
      </c>
      <c r="D59" s="433">
        <f>D57*0.25</f>
        <v>693.125</v>
      </c>
    </row>
    <row r="60" spans="1:4" s="264" customFormat="1" ht="12.75">
      <c r="A60" s="379"/>
      <c r="B60" s="343" t="s">
        <v>156</v>
      </c>
      <c r="C60" s="270" t="s">
        <v>75</v>
      </c>
      <c r="D60" s="303">
        <f>ROUND(D57*0.15,2)</f>
        <v>415.88</v>
      </c>
    </row>
    <row r="61" spans="1:4" s="264" customFormat="1" ht="11.25" customHeight="1">
      <c r="A61" s="379"/>
      <c r="B61" s="424" t="s">
        <v>169</v>
      </c>
      <c r="C61" s="423" t="s">
        <v>12</v>
      </c>
      <c r="D61" s="433">
        <f>ROUND((46+40+17.5+16.5+23+6.5+11+6.5+14.5+23+6.5+9+32+17+34+29+45.5+16.5+19+17.5+26+26+31+16+27+25+25+25+25+25+25+25+10+6+10+7+18+2.5+12+13.5+24+18.5+13.5+12+25.5+29+15.5+27+25.5+25.5+25.5+25.5+25.5+25.5+18+18.5+17+30+36+18.5+18.5+18.5+18.5+18.5+18.5+18.5+17.5+13+22+25.5+25.5+20+24+12+25.5+9.5+8.5+6.5)*1.05,2)</f>
        <v>1666.35</v>
      </c>
    </row>
    <row r="62" spans="1:4" s="387" customFormat="1" ht="12.75">
      <c r="A62" s="320"/>
      <c r="B62" s="375" t="s">
        <v>188</v>
      </c>
      <c r="C62" s="420"/>
      <c r="D62" s="303"/>
    </row>
    <row r="63" spans="1:4" s="264" customFormat="1" ht="12.75">
      <c r="A63" s="379">
        <v>13</v>
      </c>
      <c r="B63" s="425" t="s">
        <v>170</v>
      </c>
      <c r="C63" s="426" t="s">
        <v>51</v>
      </c>
      <c r="D63" s="434">
        <f>D64</f>
        <v>1068.1</v>
      </c>
    </row>
    <row r="64" spans="1:4" s="264" customFormat="1" ht="51.75" customHeight="1">
      <c r="A64" s="379">
        <v>14</v>
      </c>
      <c r="B64" s="279" t="s">
        <v>1280</v>
      </c>
      <c r="C64" s="270" t="s">
        <v>51</v>
      </c>
      <c r="D64" s="300">
        <f>237.75+4.5+34+6.8+3.3+12.5+161.5+8.3+11.2+4+8.2+37.7+63.35+12.1+207.7+217.6+37.6</f>
        <v>1068.1</v>
      </c>
    </row>
    <row r="65" spans="1:4" s="264" customFormat="1" ht="12.75">
      <c r="A65" s="379"/>
      <c r="B65" s="343" t="s">
        <v>1281</v>
      </c>
      <c r="C65" s="270" t="s">
        <v>51</v>
      </c>
      <c r="D65" s="303">
        <f>ROUND(D64*1.08,2)</f>
        <v>1153.55</v>
      </c>
    </row>
    <row r="66" spans="1:4" s="264" customFormat="1" ht="12.75">
      <c r="A66" s="379"/>
      <c r="B66" s="343" t="s">
        <v>156</v>
      </c>
      <c r="C66" s="270" t="s">
        <v>75</v>
      </c>
      <c r="D66" s="303">
        <f>ROUND(D64*0.15,2)</f>
        <v>160.22</v>
      </c>
    </row>
    <row r="67" spans="1:4" s="264" customFormat="1" ht="12.75">
      <c r="A67" s="379"/>
      <c r="B67" s="406" t="s">
        <v>157</v>
      </c>
      <c r="C67" s="280" t="s">
        <v>65</v>
      </c>
      <c r="D67" s="303">
        <f>ROUND(3.5*D64,2)</f>
        <v>3738.35</v>
      </c>
    </row>
    <row r="68" spans="1:4" s="412" customFormat="1" ht="12.75">
      <c r="A68" s="379"/>
      <c r="B68" s="406" t="s">
        <v>171</v>
      </c>
      <c r="C68" s="280" t="s">
        <v>65</v>
      </c>
      <c r="D68" s="303">
        <f>ROUND(0.5*D64,2)</f>
        <v>534.05</v>
      </c>
    </row>
    <row r="69" spans="1:4" s="412" customFormat="1" ht="51">
      <c r="A69" s="379">
        <v>15</v>
      </c>
      <c r="B69" s="279" t="s">
        <v>1495</v>
      </c>
      <c r="C69" s="270" t="s">
        <v>51</v>
      </c>
      <c r="D69" s="300">
        <f>21+35.1+97.7+57.5+93.8+36.2+56.5+36.1+55.1</f>
        <v>489.00000000000006</v>
      </c>
    </row>
    <row r="70" spans="1:4" s="412" customFormat="1" ht="12.75">
      <c r="A70" s="379"/>
      <c r="B70" s="415" t="s">
        <v>194</v>
      </c>
      <c r="C70" s="270"/>
      <c r="D70" s="300"/>
    </row>
    <row r="71" spans="1:4" s="412" customFormat="1" ht="25.5">
      <c r="A71" s="379">
        <v>16</v>
      </c>
      <c r="B71" s="377" t="s">
        <v>196</v>
      </c>
      <c r="C71" s="270" t="s">
        <v>51</v>
      </c>
      <c r="D71" s="300">
        <f>176.4+60.8+86.6</f>
        <v>323.79999999999995</v>
      </c>
    </row>
    <row r="72" spans="1:4" s="412" customFormat="1" ht="12.75">
      <c r="A72" s="379"/>
      <c r="B72" s="427" t="s">
        <v>189</v>
      </c>
      <c r="C72" s="270"/>
      <c r="D72" s="300"/>
    </row>
    <row r="73" spans="1:4" s="412" customFormat="1" ht="12.75">
      <c r="A73" s="379"/>
      <c r="B73" s="427" t="s">
        <v>190</v>
      </c>
      <c r="C73" s="270"/>
      <c r="D73" s="300"/>
    </row>
    <row r="74" spans="1:4" s="412" customFormat="1" ht="12.75">
      <c r="A74" s="379"/>
      <c r="B74" s="427" t="s">
        <v>191</v>
      </c>
      <c r="C74" s="270"/>
      <c r="D74" s="300"/>
    </row>
    <row r="75" spans="1:4" s="412" customFormat="1" ht="12.75">
      <c r="A75" s="379"/>
      <c r="B75" s="427" t="s">
        <v>192</v>
      </c>
      <c r="C75" s="270"/>
      <c r="D75" s="300"/>
    </row>
    <row r="76" spans="1:4" s="412" customFormat="1" ht="12.75">
      <c r="A76" s="379"/>
      <c r="B76" s="427" t="s">
        <v>1550</v>
      </c>
      <c r="C76" s="270"/>
      <c r="D76" s="300"/>
    </row>
    <row r="77" spans="1:4" s="412" customFormat="1" ht="12.75">
      <c r="A77" s="379">
        <v>17</v>
      </c>
      <c r="B77" s="279" t="s">
        <v>176</v>
      </c>
      <c r="C77" s="273" t="s">
        <v>51</v>
      </c>
      <c r="D77" s="303">
        <f>D71</f>
        <v>323.79999999999995</v>
      </c>
    </row>
    <row r="78" spans="1:4" s="412" customFormat="1" ht="12.75">
      <c r="A78" s="379">
        <v>18</v>
      </c>
      <c r="B78" s="279" t="s">
        <v>177</v>
      </c>
      <c r="C78" s="273" t="s">
        <v>51</v>
      </c>
      <c r="D78" s="303">
        <f>D71</f>
        <v>323.79999999999995</v>
      </c>
    </row>
    <row r="79" spans="1:4" s="412" customFormat="1" ht="12.75">
      <c r="A79" s="379">
        <v>19</v>
      </c>
      <c r="B79" s="279" t="s">
        <v>178</v>
      </c>
      <c r="C79" s="273" t="s">
        <v>12</v>
      </c>
      <c r="D79" s="303">
        <f>49+19.5</f>
        <v>68.5</v>
      </c>
    </row>
    <row r="80" spans="1:4" s="412" customFormat="1" ht="12.75">
      <c r="A80" s="379">
        <v>20</v>
      </c>
      <c r="B80" s="279" t="s">
        <v>179</v>
      </c>
      <c r="C80" s="273" t="s">
        <v>51</v>
      </c>
      <c r="D80" s="303">
        <f>D71</f>
        <v>323.79999999999995</v>
      </c>
    </row>
    <row r="81" spans="1:4" s="412" customFormat="1" ht="12.75">
      <c r="A81" s="379"/>
      <c r="B81" s="415" t="s">
        <v>193</v>
      </c>
      <c r="C81" s="390"/>
      <c r="D81" s="391"/>
    </row>
    <row r="82" spans="1:4" s="412" customFormat="1" ht="63.75">
      <c r="A82" s="379">
        <v>21</v>
      </c>
      <c r="B82" s="428" t="s">
        <v>1390</v>
      </c>
      <c r="C82" s="389" t="s">
        <v>51</v>
      </c>
      <c r="D82" s="435">
        <v>426.7</v>
      </c>
    </row>
    <row r="83" spans="1:4" s="412" customFormat="1" ht="12.75">
      <c r="A83" s="379"/>
      <c r="B83" s="427" t="s">
        <v>189</v>
      </c>
      <c r="C83" s="389"/>
      <c r="D83" s="386"/>
    </row>
    <row r="84" spans="1:4" s="412" customFormat="1" ht="12.75">
      <c r="A84" s="379"/>
      <c r="B84" s="427" t="s">
        <v>190</v>
      </c>
      <c r="C84" s="389"/>
      <c r="D84" s="386"/>
    </row>
    <row r="85" spans="1:4" s="412" customFormat="1" ht="12.75">
      <c r="A85" s="379"/>
      <c r="B85" s="427" t="s">
        <v>191</v>
      </c>
      <c r="C85" s="389"/>
      <c r="D85" s="386"/>
    </row>
    <row r="86" spans="1:4" s="412" customFormat="1" ht="12.75">
      <c r="A86" s="429"/>
      <c r="B86" s="427" t="s">
        <v>192</v>
      </c>
      <c r="C86" s="389"/>
      <c r="D86" s="386"/>
    </row>
    <row r="87" spans="1:4" s="412" customFormat="1" ht="12.75">
      <c r="A87" s="379"/>
      <c r="B87" s="427" t="s">
        <v>1550</v>
      </c>
      <c r="C87" s="389"/>
      <c r="D87" s="386"/>
    </row>
    <row r="88" spans="1:4" s="412" customFormat="1" ht="12.75">
      <c r="A88" s="379">
        <v>22</v>
      </c>
      <c r="B88" s="388" t="s">
        <v>173</v>
      </c>
      <c r="C88" s="389" t="s">
        <v>12</v>
      </c>
      <c r="D88" s="386">
        <f>ROUND(74.5*1.1,2)</f>
        <v>81.95</v>
      </c>
    </row>
    <row r="89" spans="1:4" s="412" customFormat="1" ht="12.75">
      <c r="A89" s="379">
        <v>23</v>
      </c>
      <c r="B89" s="428" t="s">
        <v>174</v>
      </c>
      <c r="C89" s="389" t="s">
        <v>175</v>
      </c>
      <c r="D89" s="435">
        <v>1</v>
      </c>
    </row>
    <row r="90" spans="1:4" s="412" customFormat="1" ht="12.75" customHeight="1">
      <c r="A90" s="379">
        <v>24</v>
      </c>
      <c r="B90" s="428" t="s">
        <v>197</v>
      </c>
      <c r="C90" s="389" t="s">
        <v>175</v>
      </c>
      <c r="D90" s="435">
        <v>1</v>
      </c>
    </row>
    <row r="91" spans="1:4" s="412" customFormat="1" ht="12.75">
      <c r="A91" s="379"/>
      <c r="B91" s="319" t="s">
        <v>198</v>
      </c>
      <c r="C91" s="318"/>
      <c r="D91" s="301"/>
    </row>
    <row r="92" spans="1:4" s="412" customFormat="1" ht="12.75">
      <c r="A92" s="379">
        <v>25</v>
      </c>
      <c r="B92" s="430" t="s">
        <v>146</v>
      </c>
      <c r="C92" s="334" t="s">
        <v>51</v>
      </c>
      <c r="D92" s="383">
        <f>D93</f>
        <v>276.4</v>
      </c>
    </row>
    <row r="93" spans="1:4" s="264" customFormat="1" ht="25.5">
      <c r="A93" s="379">
        <v>26</v>
      </c>
      <c r="B93" s="279" t="s">
        <v>1496</v>
      </c>
      <c r="C93" s="270" t="s">
        <v>51</v>
      </c>
      <c r="D93" s="300">
        <f>85.9+20+37.5+38.1+8.6+9+20+20+37.3</f>
        <v>276.4</v>
      </c>
    </row>
    <row r="94" spans="1:4" s="264" customFormat="1" ht="12.75">
      <c r="A94" s="379"/>
      <c r="B94" s="319" t="s">
        <v>199</v>
      </c>
      <c r="C94" s="270"/>
      <c r="D94" s="301"/>
    </row>
    <row r="95" spans="1:4" s="264" customFormat="1" ht="12.75">
      <c r="A95" s="379">
        <v>27</v>
      </c>
      <c r="B95" s="430" t="s">
        <v>146</v>
      </c>
      <c r="C95" s="334" t="s">
        <v>51</v>
      </c>
      <c r="D95" s="383">
        <f>D96</f>
        <v>29.5</v>
      </c>
    </row>
    <row r="96" spans="1:4" s="264" customFormat="1" ht="38.25">
      <c r="A96" s="379">
        <v>28</v>
      </c>
      <c r="B96" s="279" t="s">
        <v>1497</v>
      </c>
      <c r="C96" s="270" t="s">
        <v>51</v>
      </c>
      <c r="D96" s="300">
        <f>2.85+4.7+4+17.95</f>
        <v>29.5</v>
      </c>
    </row>
    <row r="97" spans="1:4" s="264" customFormat="1" ht="25.5">
      <c r="A97" s="400"/>
      <c r="B97" s="415" t="s">
        <v>1406</v>
      </c>
      <c r="C97" s="270"/>
      <c r="D97" s="300"/>
    </row>
    <row r="98" spans="1:4" s="264" customFormat="1" ht="25.5">
      <c r="A98" s="379" t="s">
        <v>1407</v>
      </c>
      <c r="B98" s="279" t="s">
        <v>1408</v>
      </c>
      <c r="C98" s="270" t="s">
        <v>175</v>
      </c>
      <c r="D98" s="300">
        <v>1</v>
      </c>
    </row>
    <row r="99" spans="1:4" s="264" customFormat="1" ht="12.75">
      <c r="A99" s="379" t="s">
        <v>1409</v>
      </c>
      <c r="B99" s="279" t="s">
        <v>1410</v>
      </c>
      <c r="C99" s="270" t="s">
        <v>12</v>
      </c>
      <c r="D99" s="300">
        <f>1.35+2.9+2.9+2.8+2.9+1.2+1.2+2.65+2.65+1.35+5.4+3.25+2.05+3.5+7.1+6+3.3+10.9+15.5+2+2+3.5+7.75+5.2+2.4+5.4+2.6+12+22.6+22.6+10.3+8.4</f>
        <v>185.65</v>
      </c>
    </row>
    <row r="100" spans="1:4" s="264" customFormat="1" ht="12.75">
      <c r="A100" s="273" t="s">
        <v>0</v>
      </c>
      <c r="B100" s="348" t="s">
        <v>1</v>
      </c>
      <c r="C100" s="349"/>
      <c r="D100" s="350"/>
    </row>
    <row r="101" spans="1:4" s="264" customFormat="1" ht="140.25">
      <c r="A101" s="273"/>
      <c r="B101" s="269" t="s">
        <v>1468</v>
      </c>
      <c r="C101" s="349" t="s">
        <v>2</v>
      </c>
      <c r="D101" s="367">
        <v>1</v>
      </c>
    </row>
    <row r="102" spans="1:4" ht="15">
      <c r="A102" s="284"/>
      <c r="B102" s="541" t="s">
        <v>13</v>
      </c>
      <c r="C102" s="542"/>
      <c r="D102" s="285"/>
    </row>
    <row r="103" spans="2:4" ht="15">
      <c r="B103" s="254"/>
      <c r="C103" s="254"/>
      <c r="D103" s="254"/>
    </row>
    <row r="104" spans="1:4" s="264" customFormat="1" ht="12.75">
      <c r="A104" s="287" t="s">
        <v>14</v>
      </c>
      <c r="B104" s="288"/>
      <c r="C104" s="286"/>
      <c r="D104" s="286"/>
    </row>
    <row r="105" spans="1:4" s="264" customFormat="1" ht="12.75">
      <c r="A105" s="289"/>
      <c r="B105" s="290" t="s">
        <v>4</v>
      </c>
      <c r="C105" s="286"/>
      <c r="D105" s="286"/>
    </row>
    <row r="106" spans="1:4" s="264" customFormat="1" ht="12.75">
      <c r="A106" s="289"/>
      <c r="B106" s="291"/>
      <c r="C106" s="286"/>
      <c r="D106" s="286"/>
    </row>
    <row r="107" spans="1:4" s="264" customFormat="1" ht="12.75">
      <c r="A107" s="287" t="s">
        <v>6</v>
      </c>
      <c r="B107" s="288"/>
      <c r="C107" s="286"/>
      <c r="D107" s="286"/>
    </row>
    <row r="108" spans="1:4" s="264" customFormat="1" ht="12.75">
      <c r="A108" s="289"/>
      <c r="B108" s="290" t="s">
        <v>4</v>
      </c>
      <c r="C108" s="286"/>
      <c r="D108" s="286"/>
    </row>
    <row r="109" spans="1:4" s="264" customFormat="1" ht="12.75">
      <c r="A109" s="289" t="s">
        <v>5</v>
      </c>
      <c r="B109" s="351"/>
      <c r="C109" s="286"/>
      <c r="D109" s="286"/>
    </row>
  </sheetData>
  <sheetProtection/>
  <mergeCells count="10">
    <mergeCell ref="A6:D6"/>
    <mergeCell ref="A7:D7"/>
    <mergeCell ref="A10:B10"/>
    <mergeCell ref="B102:C102"/>
    <mergeCell ref="C9:D9"/>
    <mergeCell ref="A1:D1"/>
    <mergeCell ref="A2:D2"/>
    <mergeCell ref="A3:D3"/>
    <mergeCell ref="A9:B9"/>
    <mergeCell ref="A5:D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D73"/>
  <sheetViews>
    <sheetView showZeros="0" view="pageBreakPreview" zoomScale="130" zoomScaleSheetLayoutView="130" zoomScalePageLayoutView="0" workbookViewId="0" topLeftCell="A58">
      <selection activeCell="E64" sqref="E64"/>
    </sheetView>
  </sheetViews>
  <sheetFormatPr defaultColWidth="11.421875" defaultRowHeight="15"/>
  <cols>
    <col min="1" max="1" width="8.421875" style="286" customWidth="1"/>
    <col min="2" max="2" width="53.57421875" style="286" customWidth="1"/>
    <col min="3" max="3" width="11.7109375" style="286" customWidth="1"/>
    <col min="4" max="4" width="11.8515625" style="293" customWidth="1"/>
    <col min="5" max="5" width="10.140625" style="254" customWidth="1"/>
    <col min="6" max="16384" width="11.421875" style="254" customWidth="1"/>
  </cols>
  <sheetData>
    <row r="1" spans="1:4" ht="15.75">
      <c r="A1" s="544" t="s">
        <v>1498</v>
      </c>
      <c r="B1" s="544"/>
      <c r="C1" s="544"/>
      <c r="D1" s="544"/>
    </row>
    <row r="2" spans="1:4" ht="15">
      <c r="A2" s="545" t="s">
        <v>213</v>
      </c>
      <c r="B2" s="545"/>
      <c r="C2" s="545"/>
      <c r="D2" s="545"/>
    </row>
    <row r="3" spans="1:4" ht="15">
      <c r="A3" s="546" t="s">
        <v>1452</v>
      </c>
      <c r="B3" s="546"/>
      <c r="C3" s="546"/>
      <c r="D3" s="546"/>
    </row>
    <row r="4" spans="1:4" ht="15">
      <c r="A4" s="255"/>
      <c r="B4" s="255"/>
      <c r="C4" s="255"/>
      <c r="D4" s="255"/>
    </row>
    <row r="5" spans="1:4" s="264" customFormat="1" ht="31.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
      <c r="A9" s="548"/>
      <c r="B9" s="548"/>
      <c r="C9" s="548"/>
      <c r="D9" s="548"/>
    </row>
    <row r="10" spans="1:4" ht="15">
      <c r="A10" s="550" t="s">
        <v>1456</v>
      </c>
      <c r="B10" s="550"/>
      <c r="C10" s="552"/>
      <c r="D10" s="552"/>
    </row>
    <row r="11" spans="1:4" ht="15">
      <c r="A11" s="307"/>
      <c r="B11" s="307"/>
      <c r="C11" s="307"/>
      <c r="D11" s="307"/>
    </row>
    <row r="12" spans="1:4" ht="44.25" customHeight="1">
      <c r="A12" s="309" t="s">
        <v>886</v>
      </c>
      <c r="B12" s="299" t="s">
        <v>1455</v>
      </c>
      <c r="C12" s="309" t="s">
        <v>1464</v>
      </c>
      <c r="D12" s="299" t="s">
        <v>1465</v>
      </c>
    </row>
    <row r="13" spans="1:4" ht="15">
      <c r="A13" s="260">
        <v>1</v>
      </c>
      <c r="B13" s="260">
        <v>2</v>
      </c>
      <c r="C13" s="260">
        <v>3</v>
      </c>
      <c r="D13" s="260">
        <v>4</v>
      </c>
    </row>
    <row r="14" spans="1:4" s="264" customFormat="1" ht="12.75">
      <c r="A14" s="265"/>
      <c r="B14" s="394" t="s">
        <v>219</v>
      </c>
      <c r="C14" s="281"/>
      <c r="D14" s="314"/>
    </row>
    <row r="15" spans="1:4" s="264" customFormat="1" ht="127.5">
      <c r="A15" s="265">
        <v>1</v>
      </c>
      <c r="B15" s="41" t="s">
        <v>1499</v>
      </c>
      <c r="C15" s="270" t="s">
        <v>12</v>
      </c>
      <c r="D15" s="301">
        <f>2.9+1.53+1.8+0.3+5.06+21</f>
        <v>32.59</v>
      </c>
    </row>
    <row r="16" spans="1:4" s="264" customFormat="1" ht="12.75">
      <c r="A16" s="261"/>
      <c r="B16" s="406" t="s">
        <v>225</v>
      </c>
      <c r="C16" s="280"/>
      <c r="D16" s="406"/>
    </row>
    <row r="17" spans="1:4" s="264" customFormat="1" ht="12.75">
      <c r="A17" s="265"/>
      <c r="B17" s="406" t="s">
        <v>214</v>
      </c>
      <c r="C17" s="280"/>
      <c r="D17" s="406"/>
    </row>
    <row r="18" spans="1:4" s="264" customFormat="1" ht="12.75">
      <c r="A18" s="261"/>
      <c r="B18" s="406" t="s">
        <v>215</v>
      </c>
      <c r="C18" s="270"/>
      <c r="D18" s="302"/>
    </row>
    <row r="19" spans="1:4" s="264" customFormat="1" ht="25.5">
      <c r="A19" s="261"/>
      <c r="B19" s="343" t="s">
        <v>216</v>
      </c>
      <c r="C19" s="270"/>
      <c r="D19" s="301"/>
    </row>
    <row r="20" spans="1:4" s="264" customFormat="1" ht="25.5">
      <c r="A20" s="261"/>
      <c r="B20" s="343" t="s">
        <v>217</v>
      </c>
      <c r="C20" s="270"/>
      <c r="D20" s="301"/>
    </row>
    <row r="21" spans="1:4" s="264" customFormat="1" ht="12.75">
      <c r="A21" s="265"/>
      <c r="B21" s="343" t="s">
        <v>218</v>
      </c>
      <c r="C21" s="270"/>
      <c r="D21" s="302"/>
    </row>
    <row r="22" spans="1:4" s="264" customFormat="1" ht="12.75">
      <c r="A22" s="265"/>
      <c r="B22" s="394" t="s">
        <v>220</v>
      </c>
      <c r="C22" s="281"/>
      <c r="D22" s="380"/>
    </row>
    <row r="23" spans="1:4" s="264" customFormat="1" ht="89.25">
      <c r="A23" s="265">
        <v>2</v>
      </c>
      <c r="B23" s="41" t="s">
        <v>1500</v>
      </c>
      <c r="C23" s="270" t="s">
        <v>12</v>
      </c>
      <c r="D23" s="301">
        <f>28+1.3</f>
        <v>29.3</v>
      </c>
    </row>
    <row r="24" spans="1:4" s="264" customFormat="1" ht="12.75">
      <c r="A24" s="265"/>
      <c r="B24" s="406" t="s">
        <v>225</v>
      </c>
      <c r="C24" s="280"/>
      <c r="D24" s="406"/>
    </row>
    <row r="25" spans="1:4" s="264" customFormat="1" ht="12.75">
      <c r="A25" s="265"/>
      <c r="B25" s="406" t="s">
        <v>214</v>
      </c>
      <c r="C25" s="280"/>
      <c r="D25" s="406"/>
    </row>
    <row r="26" spans="1:4" s="264" customFormat="1" ht="12.75">
      <c r="A26" s="265"/>
      <c r="B26" s="406" t="s">
        <v>215</v>
      </c>
      <c r="C26" s="270"/>
      <c r="D26" s="302"/>
    </row>
    <row r="27" spans="1:4" s="264" customFormat="1" ht="25.5">
      <c r="A27" s="265"/>
      <c r="B27" s="343" t="s">
        <v>216</v>
      </c>
      <c r="C27" s="270"/>
      <c r="D27" s="301"/>
    </row>
    <row r="28" spans="1:4" s="264" customFormat="1" ht="25.5">
      <c r="A28" s="265"/>
      <c r="B28" s="343" t="s">
        <v>217</v>
      </c>
      <c r="C28" s="270"/>
      <c r="D28" s="301"/>
    </row>
    <row r="29" spans="1:4" s="264" customFormat="1" ht="12.75">
      <c r="A29" s="265"/>
      <c r="B29" s="343" t="s">
        <v>218</v>
      </c>
      <c r="C29" s="270"/>
      <c r="D29" s="302"/>
    </row>
    <row r="30" spans="1:4" s="264" customFormat="1" ht="12.75">
      <c r="A30" s="265"/>
      <c r="B30" s="394" t="s">
        <v>221</v>
      </c>
      <c r="C30" s="281"/>
      <c r="D30" s="380"/>
    </row>
    <row r="31" spans="1:4" s="264" customFormat="1" ht="89.25">
      <c r="A31" s="265">
        <v>3</v>
      </c>
      <c r="B31" s="41" t="s">
        <v>1500</v>
      </c>
      <c r="C31" s="270" t="s">
        <v>12</v>
      </c>
      <c r="D31" s="301">
        <f>28+1.3</f>
        <v>29.3</v>
      </c>
    </row>
    <row r="32" spans="1:4" s="264" customFormat="1" ht="12.75">
      <c r="A32" s="265"/>
      <c r="B32" s="406" t="s">
        <v>225</v>
      </c>
      <c r="C32" s="280"/>
      <c r="D32" s="406"/>
    </row>
    <row r="33" spans="1:4" s="264" customFormat="1" ht="12.75">
      <c r="A33" s="265"/>
      <c r="B33" s="406" t="s">
        <v>214</v>
      </c>
      <c r="C33" s="280"/>
      <c r="D33" s="406"/>
    </row>
    <row r="34" spans="1:4" s="264" customFormat="1" ht="12.75">
      <c r="A34" s="265"/>
      <c r="B34" s="406" t="s">
        <v>215</v>
      </c>
      <c r="C34" s="270"/>
      <c r="D34" s="302"/>
    </row>
    <row r="35" spans="1:4" s="264" customFormat="1" ht="25.5">
      <c r="A35" s="265"/>
      <c r="B35" s="343" t="s">
        <v>216</v>
      </c>
      <c r="C35" s="270"/>
      <c r="D35" s="301"/>
    </row>
    <row r="36" spans="1:4" s="264" customFormat="1" ht="25.5">
      <c r="A36" s="265"/>
      <c r="B36" s="343" t="s">
        <v>217</v>
      </c>
      <c r="C36" s="270"/>
      <c r="D36" s="301"/>
    </row>
    <row r="37" spans="1:4" s="264" customFormat="1" ht="12.75">
      <c r="A37" s="265"/>
      <c r="B37" s="343" t="s">
        <v>218</v>
      </c>
      <c r="C37" s="270"/>
      <c r="D37" s="302"/>
    </row>
    <row r="38" spans="1:4" s="264" customFormat="1" ht="12.75">
      <c r="A38" s="265"/>
      <c r="B38" s="394" t="s">
        <v>222</v>
      </c>
      <c r="C38" s="281"/>
      <c r="D38" s="380"/>
    </row>
    <row r="39" spans="1:4" s="264" customFormat="1" ht="89.25">
      <c r="A39" s="265">
        <v>4</v>
      </c>
      <c r="B39" s="41" t="s">
        <v>1501</v>
      </c>
      <c r="C39" s="270" t="s">
        <v>12</v>
      </c>
      <c r="D39" s="301">
        <v>0.8</v>
      </c>
    </row>
    <row r="40" spans="1:4" s="264" customFormat="1" ht="12.75">
      <c r="A40" s="265"/>
      <c r="B40" s="406" t="s">
        <v>225</v>
      </c>
      <c r="C40" s="280"/>
      <c r="D40" s="406"/>
    </row>
    <row r="41" spans="1:4" s="264" customFormat="1" ht="12.75">
      <c r="A41" s="265"/>
      <c r="B41" s="406" t="s">
        <v>214</v>
      </c>
      <c r="C41" s="280"/>
      <c r="D41" s="406"/>
    </row>
    <row r="42" spans="1:4" s="264" customFormat="1" ht="12.75">
      <c r="A42" s="265"/>
      <c r="B42" s="406" t="s">
        <v>215</v>
      </c>
      <c r="C42" s="270"/>
      <c r="D42" s="302"/>
    </row>
    <row r="43" spans="1:4" s="264" customFormat="1" ht="25.5">
      <c r="A43" s="265"/>
      <c r="B43" s="343" t="s">
        <v>216</v>
      </c>
      <c r="C43" s="270"/>
      <c r="D43" s="301"/>
    </row>
    <row r="44" spans="1:4" s="264" customFormat="1" ht="25.5">
      <c r="A44" s="265"/>
      <c r="B44" s="343" t="s">
        <v>217</v>
      </c>
      <c r="C44" s="270"/>
      <c r="D44" s="301"/>
    </row>
    <row r="45" spans="1:4" s="264" customFormat="1" ht="12.75">
      <c r="A45" s="265"/>
      <c r="B45" s="343" t="s">
        <v>218</v>
      </c>
      <c r="C45" s="270"/>
      <c r="D45" s="302"/>
    </row>
    <row r="46" spans="1:4" s="264" customFormat="1" ht="12.75">
      <c r="A46" s="265"/>
      <c r="B46" s="394" t="s">
        <v>223</v>
      </c>
      <c r="C46" s="281"/>
      <c r="D46" s="380"/>
    </row>
    <row r="47" spans="1:4" s="264" customFormat="1" ht="89.25">
      <c r="A47" s="265">
        <v>5</v>
      </c>
      <c r="B47" s="41" t="s">
        <v>1502</v>
      </c>
      <c r="C47" s="270" t="s">
        <v>12</v>
      </c>
      <c r="D47" s="301">
        <f>2.9+2.9</f>
        <v>5.8</v>
      </c>
    </row>
    <row r="48" spans="1:4" s="264" customFormat="1" ht="12.75">
      <c r="A48" s="265"/>
      <c r="B48" s="406" t="s">
        <v>225</v>
      </c>
      <c r="C48" s="280"/>
      <c r="D48" s="406"/>
    </row>
    <row r="49" spans="1:4" s="264" customFormat="1" ht="12.75">
      <c r="A49" s="265"/>
      <c r="B49" s="406" t="s">
        <v>214</v>
      </c>
      <c r="C49" s="280"/>
      <c r="D49" s="406"/>
    </row>
    <row r="50" spans="1:4" s="264" customFormat="1" ht="12.75">
      <c r="A50" s="265"/>
      <c r="B50" s="406" t="s">
        <v>215</v>
      </c>
      <c r="C50" s="270"/>
      <c r="D50" s="302"/>
    </row>
    <row r="51" spans="1:4" s="264" customFormat="1" ht="25.5">
      <c r="A51" s="265"/>
      <c r="B51" s="343" t="s">
        <v>216</v>
      </c>
      <c r="C51" s="270"/>
      <c r="D51" s="301"/>
    </row>
    <row r="52" spans="1:4" s="264" customFormat="1" ht="25.5">
      <c r="A52" s="265"/>
      <c r="B52" s="343" t="s">
        <v>217</v>
      </c>
      <c r="C52" s="270"/>
      <c r="D52" s="301"/>
    </row>
    <row r="53" spans="1:4" s="264" customFormat="1" ht="12.75">
      <c r="A53" s="265"/>
      <c r="B53" s="343" t="s">
        <v>218</v>
      </c>
      <c r="C53" s="270"/>
      <c r="D53" s="302"/>
    </row>
    <row r="54" spans="1:4" s="264" customFormat="1" ht="12.75">
      <c r="A54" s="265"/>
      <c r="B54" s="415" t="s">
        <v>224</v>
      </c>
      <c r="C54" s="270"/>
      <c r="D54" s="302"/>
    </row>
    <row r="55" spans="1:4" s="264" customFormat="1" ht="102">
      <c r="A55" s="379">
        <v>6</v>
      </c>
      <c r="B55" s="269" t="s">
        <v>1503</v>
      </c>
      <c r="C55" s="270" t="s">
        <v>12</v>
      </c>
      <c r="D55" s="301">
        <f>2.4*22</f>
        <v>52.8</v>
      </c>
    </row>
    <row r="56" spans="1:4" s="264" customFormat="1" ht="12.75">
      <c r="A56" s="379"/>
      <c r="B56" s="406" t="s">
        <v>225</v>
      </c>
      <c r="C56" s="390"/>
      <c r="D56" s="438"/>
    </row>
    <row r="57" spans="1:4" s="264" customFormat="1" ht="12.75">
      <c r="A57" s="379"/>
      <c r="B57" s="406" t="s">
        <v>214</v>
      </c>
      <c r="C57" s="416"/>
      <c r="D57" s="439"/>
    </row>
    <row r="58" spans="1:4" s="264" customFormat="1" ht="12.75">
      <c r="A58" s="379"/>
      <c r="B58" s="406" t="s">
        <v>215</v>
      </c>
      <c r="C58" s="416"/>
      <c r="D58" s="439"/>
    </row>
    <row r="59" spans="1:4" s="264" customFormat="1" ht="11.25" customHeight="1">
      <c r="A59" s="379"/>
      <c r="B59" s="343" t="s">
        <v>216</v>
      </c>
      <c r="C59" s="416"/>
      <c r="D59" s="439"/>
    </row>
    <row r="60" spans="1:4" s="264" customFormat="1" ht="25.5">
      <c r="A60" s="379"/>
      <c r="B60" s="343" t="s">
        <v>217</v>
      </c>
      <c r="C60" s="416"/>
      <c r="D60" s="439"/>
    </row>
    <row r="61" spans="1:4" s="264" customFormat="1" ht="12.75">
      <c r="A61" s="379"/>
      <c r="B61" s="343" t="s">
        <v>218</v>
      </c>
      <c r="C61" s="416"/>
      <c r="D61" s="439"/>
    </row>
    <row r="62" spans="1:4" s="264" customFormat="1" ht="63.75">
      <c r="A62" s="379">
        <v>7</v>
      </c>
      <c r="B62" s="279" t="s">
        <v>1402</v>
      </c>
      <c r="C62" s="270" t="s">
        <v>12</v>
      </c>
      <c r="D62" s="301">
        <v>1.8</v>
      </c>
    </row>
    <row r="63" spans="1:4" s="264" customFormat="1" ht="63.75">
      <c r="A63" s="379">
        <v>8</v>
      </c>
      <c r="B63" s="279" t="s">
        <v>1403</v>
      </c>
      <c r="C63" s="270" t="s">
        <v>12</v>
      </c>
      <c r="D63" s="302">
        <v>1.2</v>
      </c>
    </row>
    <row r="64" spans="1:4" s="264" customFormat="1" ht="12.75">
      <c r="A64" s="273" t="s">
        <v>0</v>
      </c>
      <c r="B64" s="348" t="s">
        <v>1</v>
      </c>
      <c r="C64" s="349"/>
      <c r="D64" s="364"/>
    </row>
    <row r="65" spans="1:4" s="264" customFormat="1" ht="140.25">
      <c r="A65" s="273"/>
      <c r="B65" s="269" t="s">
        <v>1468</v>
      </c>
      <c r="C65" s="349" t="s">
        <v>2</v>
      </c>
      <c r="D65" s="367">
        <v>1</v>
      </c>
    </row>
    <row r="66" spans="1:4" ht="15">
      <c r="A66" s="284"/>
      <c r="B66" s="541" t="s">
        <v>13</v>
      </c>
      <c r="C66" s="542"/>
      <c r="D66" s="285"/>
    </row>
    <row r="67" spans="2:4" ht="15">
      <c r="B67" s="254"/>
      <c r="C67" s="254"/>
      <c r="D67" s="254"/>
    </row>
    <row r="68" spans="1:4" s="264" customFormat="1" ht="12.75">
      <c r="A68" s="287" t="s">
        <v>14</v>
      </c>
      <c r="B68" s="288"/>
      <c r="C68" s="286"/>
      <c r="D68" s="286"/>
    </row>
    <row r="69" spans="1:4" s="264" customFormat="1" ht="12.75">
      <c r="A69" s="289"/>
      <c r="B69" s="290" t="s">
        <v>4</v>
      </c>
      <c r="C69" s="286"/>
      <c r="D69" s="286"/>
    </row>
    <row r="70" spans="1:4" s="264" customFormat="1" ht="12.75">
      <c r="A70" s="289"/>
      <c r="B70" s="291"/>
      <c r="C70" s="286"/>
      <c r="D70" s="286"/>
    </row>
    <row r="71" spans="1:4" s="264" customFormat="1" ht="12.75">
      <c r="A71" s="287" t="s">
        <v>6</v>
      </c>
      <c r="B71" s="288"/>
      <c r="C71" s="286"/>
      <c r="D71" s="286"/>
    </row>
    <row r="72" spans="1:4" s="264" customFormat="1" ht="12.75">
      <c r="A72" s="289"/>
      <c r="B72" s="290" t="s">
        <v>4</v>
      </c>
      <c r="C72" s="286"/>
      <c r="D72" s="286"/>
    </row>
    <row r="73" spans="1:4" s="264" customFormat="1" ht="12.75">
      <c r="A73" s="289" t="s">
        <v>5</v>
      </c>
      <c r="B73" s="351"/>
      <c r="C73" s="286"/>
      <c r="D73" s="286"/>
    </row>
  </sheetData>
  <sheetProtection/>
  <mergeCells count="10">
    <mergeCell ref="B66:C66"/>
    <mergeCell ref="C10:D10"/>
    <mergeCell ref="A1:D1"/>
    <mergeCell ref="A2:D2"/>
    <mergeCell ref="A3:D3"/>
    <mergeCell ref="A5:D5"/>
    <mergeCell ref="A6:D6"/>
    <mergeCell ref="A7:D7"/>
    <mergeCell ref="A9:D9"/>
    <mergeCell ref="A10:B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D83"/>
  <sheetViews>
    <sheetView showZeros="0" view="pageBreakPreview" zoomScale="145" zoomScaleSheetLayoutView="145" zoomScalePageLayoutView="0" workbookViewId="0" topLeftCell="A64">
      <selection activeCell="B72" sqref="B72"/>
    </sheetView>
  </sheetViews>
  <sheetFormatPr defaultColWidth="11.421875" defaultRowHeight="15"/>
  <cols>
    <col min="1" max="1" width="8.7109375" style="286" customWidth="1"/>
    <col min="2" max="2" width="53.421875" style="286" customWidth="1"/>
    <col min="3" max="3" width="11.140625" style="286" customWidth="1"/>
    <col min="4" max="4" width="11.140625" style="293" customWidth="1"/>
    <col min="5" max="5" width="10.140625" style="254" customWidth="1"/>
    <col min="6" max="16384" width="11.421875" style="254" customWidth="1"/>
  </cols>
  <sheetData>
    <row r="1" spans="1:4" ht="15.75">
      <c r="A1" s="544" t="s">
        <v>1504</v>
      </c>
      <c r="B1" s="544"/>
      <c r="C1" s="544"/>
      <c r="D1" s="544"/>
    </row>
    <row r="2" spans="1:4" ht="15">
      <c r="A2" s="545" t="s">
        <v>49</v>
      </c>
      <c r="B2" s="545"/>
      <c r="C2" s="545"/>
      <c r="D2" s="545"/>
    </row>
    <row r="3" spans="1:4" ht="15">
      <c r="A3" s="546" t="s">
        <v>1452</v>
      </c>
      <c r="B3" s="546"/>
      <c r="C3" s="546"/>
      <c r="D3" s="546"/>
    </row>
    <row r="4" spans="1:4" ht="15">
      <c r="A4" s="255"/>
      <c r="B4" s="255"/>
      <c r="C4" s="255"/>
      <c r="D4" s="255"/>
    </row>
    <row r="5" spans="1:4" s="264" customFormat="1" ht="31.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
      <c r="A9" s="548"/>
      <c r="B9" s="548"/>
      <c r="C9" s="548"/>
      <c r="D9" s="548"/>
    </row>
    <row r="10" spans="1:4" ht="15">
      <c r="A10" s="550" t="s">
        <v>1505</v>
      </c>
      <c r="B10" s="550"/>
      <c r="C10" s="552"/>
      <c r="D10" s="552"/>
    </row>
    <row r="11" spans="1:4" ht="15">
      <c r="A11" s="307"/>
      <c r="B11" s="307"/>
      <c r="C11" s="307"/>
      <c r="D11" s="307"/>
    </row>
    <row r="12" spans="1:4" ht="45.75" customHeight="1">
      <c r="A12" s="309" t="s">
        <v>886</v>
      </c>
      <c r="B12" s="299" t="s">
        <v>1455</v>
      </c>
      <c r="C12" s="309" t="s">
        <v>1464</v>
      </c>
      <c r="D12" s="299" t="s">
        <v>1465</v>
      </c>
    </row>
    <row r="13" spans="1:4" ht="15">
      <c r="A13" s="260">
        <v>1</v>
      </c>
      <c r="B13" s="260">
        <v>2</v>
      </c>
      <c r="C13" s="260">
        <v>3</v>
      </c>
      <c r="D13" s="260">
        <v>4</v>
      </c>
    </row>
    <row r="14" spans="1:4" s="264" customFormat="1" ht="12.75">
      <c r="A14" s="261">
        <v>1</v>
      </c>
      <c r="B14" s="262" t="s">
        <v>670</v>
      </c>
      <c r="C14" s="39"/>
      <c r="D14" s="207"/>
    </row>
    <row r="15" spans="1:4" s="443" customFormat="1" ht="25.5">
      <c r="A15" s="320" t="s">
        <v>20</v>
      </c>
      <c r="B15" s="440" t="s">
        <v>671</v>
      </c>
      <c r="C15" s="441" t="s">
        <v>12</v>
      </c>
      <c r="D15" s="442">
        <v>85</v>
      </c>
    </row>
    <row r="16" spans="1:4" s="443" customFormat="1" ht="25.5">
      <c r="A16" s="320" t="s">
        <v>21</v>
      </c>
      <c r="B16" s="440" t="s">
        <v>672</v>
      </c>
      <c r="C16" s="441" t="s">
        <v>12</v>
      </c>
      <c r="D16" s="442">
        <v>50</v>
      </c>
    </row>
    <row r="17" spans="1:4" s="443" customFormat="1" ht="25.5">
      <c r="A17" s="320" t="s">
        <v>240</v>
      </c>
      <c r="B17" s="440" t="s">
        <v>673</v>
      </c>
      <c r="C17" s="441" t="s">
        <v>12</v>
      </c>
      <c r="D17" s="442">
        <v>45</v>
      </c>
    </row>
    <row r="18" spans="1:4" s="443" customFormat="1" ht="25.5">
      <c r="A18" s="320" t="s">
        <v>241</v>
      </c>
      <c r="B18" s="440" t="s">
        <v>674</v>
      </c>
      <c r="C18" s="441" t="s">
        <v>12</v>
      </c>
      <c r="D18" s="442">
        <v>140</v>
      </c>
    </row>
    <row r="19" spans="1:4" s="443" customFormat="1" ht="12.75">
      <c r="A19" s="320" t="s">
        <v>242</v>
      </c>
      <c r="B19" s="444" t="s">
        <v>1232</v>
      </c>
      <c r="C19" s="445" t="s">
        <v>12</v>
      </c>
      <c r="D19" s="442">
        <v>7</v>
      </c>
    </row>
    <row r="20" spans="1:4" s="443" customFormat="1" ht="28.5" customHeight="1">
      <c r="A20" s="320" t="s">
        <v>243</v>
      </c>
      <c r="B20" s="444" t="s">
        <v>1233</v>
      </c>
      <c r="C20" s="445" t="s">
        <v>12</v>
      </c>
      <c r="D20" s="442">
        <v>3</v>
      </c>
    </row>
    <row r="21" spans="1:4" s="443" customFormat="1" ht="25.5">
      <c r="A21" s="320" t="s">
        <v>413</v>
      </c>
      <c r="B21" s="440" t="s">
        <v>675</v>
      </c>
      <c r="C21" s="441" t="s">
        <v>12</v>
      </c>
      <c r="D21" s="442">
        <v>85</v>
      </c>
    </row>
    <row r="22" spans="1:4" s="443" customFormat="1" ht="25.5">
      <c r="A22" s="320" t="s">
        <v>423</v>
      </c>
      <c r="B22" s="440" t="s">
        <v>676</v>
      </c>
      <c r="C22" s="441" t="s">
        <v>12</v>
      </c>
      <c r="D22" s="442">
        <v>50</v>
      </c>
    </row>
    <row r="23" spans="1:4" s="443" customFormat="1" ht="25.5">
      <c r="A23" s="320" t="s">
        <v>425</v>
      </c>
      <c r="B23" s="440" t="s">
        <v>677</v>
      </c>
      <c r="C23" s="441" t="s">
        <v>12</v>
      </c>
      <c r="D23" s="442">
        <v>45</v>
      </c>
    </row>
    <row r="24" spans="1:4" s="443" customFormat="1" ht="25.5">
      <c r="A24" s="320" t="s">
        <v>427</v>
      </c>
      <c r="B24" s="440" t="s">
        <v>678</v>
      </c>
      <c r="C24" s="441" t="s">
        <v>12</v>
      </c>
      <c r="D24" s="442">
        <v>90</v>
      </c>
    </row>
    <row r="25" spans="1:4" s="443" customFormat="1" ht="12.75">
      <c r="A25" s="320" t="s">
        <v>429</v>
      </c>
      <c r="B25" s="440" t="s">
        <v>1234</v>
      </c>
      <c r="C25" s="441" t="s">
        <v>61</v>
      </c>
      <c r="D25" s="442">
        <v>460</v>
      </c>
    </row>
    <row r="26" spans="1:4" s="443" customFormat="1" ht="25.5">
      <c r="A26" s="320" t="s">
        <v>430</v>
      </c>
      <c r="B26" s="440" t="s">
        <v>680</v>
      </c>
      <c r="C26" s="441" t="s">
        <v>175</v>
      </c>
      <c r="D26" s="442">
        <v>1</v>
      </c>
    </row>
    <row r="27" spans="1:4" s="443" customFormat="1" ht="12.75">
      <c r="A27" s="320" t="s">
        <v>432</v>
      </c>
      <c r="B27" s="440" t="s">
        <v>1235</v>
      </c>
      <c r="C27" s="441" t="s">
        <v>175</v>
      </c>
      <c r="D27" s="442">
        <v>12</v>
      </c>
    </row>
    <row r="28" spans="1:4" s="443" customFormat="1" ht="12.75">
      <c r="A28" s="320" t="s">
        <v>434</v>
      </c>
      <c r="B28" s="440" t="s">
        <v>1236</v>
      </c>
      <c r="C28" s="441" t="s">
        <v>175</v>
      </c>
      <c r="D28" s="442">
        <v>11</v>
      </c>
    </row>
    <row r="29" spans="1:4" s="443" customFormat="1" ht="12.75">
      <c r="A29" s="320" t="s">
        <v>436</v>
      </c>
      <c r="B29" s="440" t="s">
        <v>1237</v>
      </c>
      <c r="C29" s="441" t="s">
        <v>175</v>
      </c>
      <c r="D29" s="442">
        <v>5</v>
      </c>
    </row>
    <row r="30" spans="1:4" s="443" customFormat="1" ht="12.75">
      <c r="A30" s="320" t="s">
        <v>438</v>
      </c>
      <c r="B30" s="440" t="s">
        <v>1238</v>
      </c>
      <c r="C30" s="441" t="s">
        <v>175</v>
      </c>
      <c r="D30" s="442">
        <v>12</v>
      </c>
    </row>
    <row r="31" spans="1:4" s="443" customFormat="1" ht="12.75">
      <c r="A31" s="320" t="s">
        <v>439</v>
      </c>
      <c r="B31" s="440" t="s">
        <v>1239</v>
      </c>
      <c r="C31" s="441" t="s">
        <v>175</v>
      </c>
      <c r="D31" s="442">
        <v>27</v>
      </c>
    </row>
    <row r="32" spans="1:4" s="412" customFormat="1" ht="12.75">
      <c r="A32" s="320" t="s">
        <v>1240</v>
      </c>
      <c r="B32" s="444" t="s">
        <v>1241</v>
      </c>
      <c r="C32" s="441" t="s">
        <v>175</v>
      </c>
      <c r="D32" s="442">
        <v>3</v>
      </c>
    </row>
    <row r="33" spans="1:4" s="443" customFormat="1" ht="12.75">
      <c r="A33" s="320" t="s">
        <v>1242</v>
      </c>
      <c r="B33" s="446" t="s">
        <v>865</v>
      </c>
      <c r="C33" s="349" t="s">
        <v>794</v>
      </c>
      <c r="D33" s="271">
        <f>ROUND((D15+D16+D17+D18+D18+D19)/100,2)</f>
        <v>4.67</v>
      </c>
    </row>
    <row r="34" spans="1:4" s="443" customFormat="1" ht="25.5">
      <c r="A34" s="320" t="s">
        <v>1243</v>
      </c>
      <c r="B34" s="440" t="s">
        <v>868</v>
      </c>
      <c r="C34" s="441" t="s">
        <v>12</v>
      </c>
      <c r="D34" s="442">
        <v>225</v>
      </c>
    </row>
    <row r="35" spans="1:4" s="443" customFormat="1" ht="51">
      <c r="A35" s="320" t="s">
        <v>1244</v>
      </c>
      <c r="B35" s="447" t="s">
        <v>1245</v>
      </c>
      <c r="C35" s="448" t="s">
        <v>175</v>
      </c>
      <c r="D35" s="449">
        <v>1</v>
      </c>
    </row>
    <row r="36" spans="1:4" s="443" customFormat="1" ht="25.5">
      <c r="A36" s="320" t="s">
        <v>1246</v>
      </c>
      <c r="B36" s="440" t="s">
        <v>1247</v>
      </c>
      <c r="C36" s="445" t="s">
        <v>175</v>
      </c>
      <c r="D36" s="442">
        <v>1</v>
      </c>
    </row>
    <row r="37" spans="1:4" s="443" customFormat="1" ht="23.25" customHeight="1">
      <c r="A37" s="400">
        <v>2</v>
      </c>
      <c r="B37" s="450" t="s">
        <v>681</v>
      </c>
      <c r="C37" s="270"/>
      <c r="D37" s="40"/>
    </row>
    <row r="38" spans="1:4" s="443" customFormat="1" ht="25.5">
      <c r="A38" s="320" t="s">
        <v>22</v>
      </c>
      <c r="B38" s="440" t="s">
        <v>671</v>
      </c>
      <c r="C38" s="441" t="s">
        <v>12</v>
      </c>
      <c r="D38" s="442">
        <v>100</v>
      </c>
    </row>
    <row r="39" spans="1:4" s="443" customFormat="1" ht="25.5">
      <c r="A39" s="320" t="s">
        <v>23</v>
      </c>
      <c r="B39" s="440" t="s">
        <v>672</v>
      </c>
      <c r="C39" s="441" t="s">
        <v>12</v>
      </c>
      <c r="D39" s="442">
        <v>15</v>
      </c>
    </row>
    <row r="40" spans="1:4" s="443" customFormat="1" ht="25.5">
      <c r="A40" s="320" t="s">
        <v>24</v>
      </c>
      <c r="B40" s="440" t="s">
        <v>673</v>
      </c>
      <c r="C40" s="441" t="s">
        <v>12</v>
      </c>
      <c r="D40" s="442">
        <v>330</v>
      </c>
    </row>
    <row r="41" spans="1:4" s="443" customFormat="1" ht="38.25">
      <c r="A41" s="320" t="s">
        <v>25</v>
      </c>
      <c r="B41" s="440" t="s">
        <v>682</v>
      </c>
      <c r="C41" s="441" t="s">
        <v>12</v>
      </c>
      <c r="D41" s="442">
        <v>100</v>
      </c>
    </row>
    <row r="42" spans="1:4" s="443" customFormat="1" ht="38.25">
      <c r="A42" s="320" t="s">
        <v>26</v>
      </c>
      <c r="B42" s="440" t="s">
        <v>683</v>
      </c>
      <c r="C42" s="441" t="s">
        <v>12</v>
      </c>
      <c r="D42" s="442">
        <v>15</v>
      </c>
    </row>
    <row r="43" spans="1:4" s="443" customFormat="1" ht="38.25">
      <c r="A43" s="320" t="s">
        <v>11</v>
      </c>
      <c r="B43" s="440" t="s">
        <v>684</v>
      </c>
      <c r="C43" s="441" t="s">
        <v>12</v>
      </c>
      <c r="D43" s="442">
        <v>330</v>
      </c>
    </row>
    <row r="44" spans="1:4" s="443" customFormat="1" ht="12.75">
      <c r="A44" s="320" t="s">
        <v>7</v>
      </c>
      <c r="B44" s="440" t="s">
        <v>1234</v>
      </c>
      <c r="C44" s="441" t="s">
        <v>61</v>
      </c>
      <c r="D44" s="442">
        <v>635</v>
      </c>
    </row>
    <row r="45" spans="1:4" s="412" customFormat="1" ht="12.75">
      <c r="A45" s="320" t="s">
        <v>8</v>
      </c>
      <c r="B45" s="440" t="s">
        <v>1235</v>
      </c>
      <c r="C45" s="441" t="s">
        <v>175</v>
      </c>
      <c r="D45" s="442">
        <v>21</v>
      </c>
    </row>
    <row r="46" spans="1:4" s="443" customFormat="1" ht="12.75">
      <c r="A46" s="320" t="s">
        <v>9</v>
      </c>
      <c r="B46" s="440" t="s">
        <v>1248</v>
      </c>
      <c r="C46" s="441" t="s">
        <v>175</v>
      </c>
      <c r="D46" s="442">
        <v>10</v>
      </c>
    </row>
    <row r="47" spans="1:4" s="443" customFormat="1" ht="12.75">
      <c r="A47" s="320" t="s">
        <v>10</v>
      </c>
      <c r="B47" s="440" t="s">
        <v>1237</v>
      </c>
      <c r="C47" s="441" t="s">
        <v>175</v>
      </c>
      <c r="D47" s="442">
        <v>5</v>
      </c>
    </row>
    <row r="48" spans="1:4" s="443" customFormat="1" ht="12.75">
      <c r="A48" s="320" t="s">
        <v>29</v>
      </c>
      <c r="B48" s="440" t="s">
        <v>1249</v>
      </c>
      <c r="C48" s="441" t="s">
        <v>175</v>
      </c>
      <c r="D48" s="442">
        <v>25</v>
      </c>
    </row>
    <row r="49" spans="1:4" s="443" customFormat="1" ht="12.75">
      <c r="A49" s="320" t="s">
        <v>30</v>
      </c>
      <c r="B49" s="440" t="s">
        <v>1241</v>
      </c>
      <c r="C49" s="441" t="s">
        <v>175</v>
      </c>
      <c r="D49" s="442">
        <v>2</v>
      </c>
    </row>
    <row r="50" spans="1:4" s="443" customFormat="1" ht="12.75">
      <c r="A50" s="320" t="s">
        <v>31</v>
      </c>
      <c r="B50" s="446" t="s">
        <v>865</v>
      </c>
      <c r="C50" s="349" t="s">
        <v>794</v>
      </c>
      <c r="D50" s="271">
        <f>ROUND((D38+D39+D40)/100,2)</f>
        <v>4.45</v>
      </c>
    </row>
    <row r="51" spans="1:4" s="443" customFormat="1" ht="28.5" customHeight="1">
      <c r="A51" s="320" t="s">
        <v>32</v>
      </c>
      <c r="B51" s="440" t="s">
        <v>1551</v>
      </c>
      <c r="C51" s="441" t="s">
        <v>12</v>
      </c>
      <c r="D51" s="442">
        <v>315</v>
      </c>
    </row>
    <row r="52" spans="1:4" s="443" customFormat="1" ht="25.5">
      <c r="A52" s="320" t="s">
        <v>33</v>
      </c>
      <c r="B52" s="440" t="s">
        <v>1250</v>
      </c>
      <c r="C52" s="445" t="s">
        <v>175</v>
      </c>
      <c r="D52" s="442">
        <v>1</v>
      </c>
    </row>
    <row r="53" spans="1:4" s="443" customFormat="1" ht="12.75">
      <c r="A53" s="400">
        <v>3</v>
      </c>
      <c r="B53" s="451" t="s">
        <v>685</v>
      </c>
      <c r="C53" s="270"/>
      <c r="D53" s="436"/>
    </row>
    <row r="54" spans="1:4" s="443" customFormat="1" ht="25.5">
      <c r="A54" s="320" t="s">
        <v>795</v>
      </c>
      <c r="B54" s="440" t="s">
        <v>671</v>
      </c>
      <c r="C54" s="441" t="s">
        <v>12</v>
      </c>
      <c r="D54" s="442">
        <v>10</v>
      </c>
    </row>
    <row r="55" spans="1:4" s="443" customFormat="1" ht="25.5">
      <c r="A55" s="320" t="s">
        <v>796</v>
      </c>
      <c r="B55" s="440" t="s">
        <v>672</v>
      </c>
      <c r="C55" s="441" t="s">
        <v>12</v>
      </c>
      <c r="D55" s="442">
        <v>125</v>
      </c>
    </row>
    <row r="56" spans="1:4" s="443" customFormat="1" ht="25.5">
      <c r="A56" s="320" t="s">
        <v>797</v>
      </c>
      <c r="B56" s="440" t="s">
        <v>686</v>
      </c>
      <c r="C56" s="441" t="s">
        <v>12</v>
      </c>
      <c r="D56" s="442">
        <v>10</v>
      </c>
    </row>
    <row r="57" spans="1:4" s="443" customFormat="1" ht="38.25">
      <c r="A57" s="320" t="s">
        <v>798</v>
      </c>
      <c r="B57" s="440" t="s">
        <v>682</v>
      </c>
      <c r="C57" s="441" t="s">
        <v>12</v>
      </c>
      <c r="D57" s="442">
        <v>10</v>
      </c>
    </row>
    <row r="58" spans="1:4" s="412" customFormat="1" ht="38.25">
      <c r="A58" s="320" t="s">
        <v>799</v>
      </c>
      <c r="B58" s="440" t="s">
        <v>683</v>
      </c>
      <c r="C58" s="441" t="s">
        <v>12</v>
      </c>
      <c r="D58" s="442">
        <v>125</v>
      </c>
    </row>
    <row r="59" spans="1:4" s="412" customFormat="1" ht="38.25">
      <c r="A59" s="320" t="s">
        <v>800</v>
      </c>
      <c r="B59" s="440" t="s">
        <v>687</v>
      </c>
      <c r="C59" s="441" t="s">
        <v>12</v>
      </c>
      <c r="D59" s="442">
        <v>10</v>
      </c>
    </row>
    <row r="60" spans="1:4" s="412" customFormat="1" ht="12.75">
      <c r="A60" s="320" t="s">
        <v>801</v>
      </c>
      <c r="B60" s="440" t="s">
        <v>679</v>
      </c>
      <c r="C60" s="441" t="s">
        <v>61</v>
      </c>
      <c r="D60" s="442">
        <v>310</v>
      </c>
    </row>
    <row r="61" spans="1:4" s="412" customFormat="1" ht="12.75">
      <c r="A61" s="320" t="s">
        <v>802</v>
      </c>
      <c r="B61" s="444" t="s">
        <v>1251</v>
      </c>
      <c r="C61" s="441" t="s">
        <v>61</v>
      </c>
      <c r="D61" s="442">
        <v>1</v>
      </c>
    </row>
    <row r="62" spans="1:4" s="412" customFormat="1" ht="12.75">
      <c r="A62" s="320" t="s">
        <v>803</v>
      </c>
      <c r="B62" s="444" t="s">
        <v>1252</v>
      </c>
      <c r="C62" s="441" t="s">
        <v>61</v>
      </c>
      <c r="D62" s="442">
        <v>2</v>
      </c>
    </row>
    <row r="63" spans="1:4" s="412" customFormat="1" ht="12.75">
      <c r="A63" s="320" t="s">
        <v>804</v>
      </c>
      <c r="B63" s="446" t="s">
        <v>865</v>
      </c>
      <c r="C63" s="349" t="s">
        <v>794</v>
      </c>
      <c r="D63" s="271">
        <f>ROUND((D54+D55+D56)/100,2)</f>
        <v>1.45</v>
      </c>
    </row>
    <row r="64" spans="1:4" s="412" customFormat="1" ht="25.5">
      <c r="A64" s="320" t="s">
        <v>805</v>
      </c>
      <c r="B64" s="440" t="s">
        <v>1552</v>
      </c>
      <c r="C64" s="441" t="s">
        <v>12</v>
      </c>
      <c r="D64" s="442">
        <v>100</v>
      </c>
    </row>
    <row r="65" spans="1:4" s="412" customFormat="1" ht="12.75">
      <c r="A65" s="320">
        <v>4</v>
      </c>
      <c r="B65" s="452" t="s">
        <v>707</v>
      </c>
      <c r="C65" s="453"/>
      <c r="D65" s="454"/>
    </row>
    <row r="66" spans="1:4" s="412" customFormat="1" ht="38.25">
      <c r="A66" s="379" t="s">
        <v>813</v>
      </c>
      <c r="B66" s="279" t="s">
        <v>1253</v>
      </c>
      <c r="C66" s="270" t="s">
        <v>175</v>
      </c>
      <c r="D66" s="270">
        <v>1</v>
      </c>
    </row>
    <row r="67" spans="1:4" s="412" customFormat="1" ht="51">
      <c r="A67" s="379" t="s">
        <v>814</v>
      </c>
      <c r="B67" s="279" t="s">
        <v>708</v>
      </c>
      <c r="C67" s="270" t="s">
        <v>175</v>
      </c>
      <c r="D67" s="270">
        <v>10</v>
      </c>
    </row>
    <row r="68" spans="1:4" s="412" customFormat="1" ht="12.75">
      <c r="A68" s="379" t="s">
        <v>815</v>
      </c>
      <c r="B68" s="279" t="s">
        <v>709</v>
      </c>
      <c r="C68" s="270" t="s">
        <v>12</v>
      </c>
      <c r="D68" s="270">
        <v>3</v>
      </c>
    </row>
    <row r="69" spans="1:4" s="264" customFormat="1" ht="12.75">
      <c r="A69" s="379" t="s">
        <v>816</v>
      </c>
      <c r="B69" s="279" t="s">
        <v>710</v>
      </c>
      <c r="C69" s="270" t="s">
        <v>12</v>
      </c>
      <c r="D69" s="270">
        <v>5</v>
      </c>
    </row>
    <row r="70" spans="1:4" ht="15">
      <c r="A70" s="379" t="s">
        <v>817</v>
      </c>
      <c r="B70" s="279" t="s">
        <v>711</v>
      </c>
      <c r="C70" s="270" t="s">
        <v>12</v>
      </c>
      <c r="D70" s="270">
        <v>170</v>
      </c>
    </row>
    <row r="71" spans="1:4" ht="15">
      <c r="A71" s="379" t="s">
        <v>818</v>
      </c>
      <c r="B71" s="446" t="s">
        <v>865</v>
      </c>
      <c r="C71" s="349" t="s">
        <v>794</v>
      </c>
      <c r="D71" s="271">
        <f>ROUND((D68+D69+D70)/100,2)</f>
        <v>1.78</v>
      </c>
    </row>
    <row r="72" spans="1:4" ht="15">
      <c r="A72" s="379">
        <v>5</v>
      </c>
      <c r="B72" s="268" t="s">
        <v>866</v>
      </c>
      <c r="C72" s="280" t="s">
        <v>2</v>
      </c>
      <c r="D72" s="271">
        <v>1</v>
      </c>
    </row>
    <row r="73" spans="1:4" ht="15">
      <c r="A73" s="379">
        <v>6</v>
      </c>
      <c r="B73" s="455" t="s">
        <v>867</v>
      </c>
      <c r="C73" s="456" t="s">
        <v>2</v>
      </c>
      <c r="D73" s="457">
        <v>1</v>
      </c>
    </row>
    <row r="74" spans="1:4" ht="15">
      <c r="A74" s="273" t="s">
        <v>0</v>
      </c>
      <c r="B74" s="458" t="s">
        <v>1</v>
      </c>
      <c r="C74" s="349"/>
      <c r="D74" s="350"/>
    </row>
    <row r="75" spans="1:4" ht="140.25">
      <c r="A75" s="273"/>
      <c r="B75" s="269" t="s">
        <v>1469</v>
      </c>
      <c r="C75" s="349" t="s">
        <v>2</v>
      </c>
      <c r="D75" s="350">
        <v>1</v>
      </c>
    </row>
    <row r="76" spans="1:4" ht="15">
      <c r="A76" s="284"/>
      <c r="B76" s="541" t="s">
        <v>13</v>
      </c>
      <c r="C76" s="542"/>
      <c r="D76" s="285"/>
    </row>
    <row r="77" spans="1:4" ht="15">
      <c r="A77" s="354"/>
      <c r="B77" s="355"/>
      <c r="C77" s="354"/>
      <c r="D77" s="356"/>
    </row>
    <row r="78" spans="1:4" s="264" customFormat="1" ht="12.75">
      <c r="A78" s="287" t="s">
        <v>14</v>
      </c>
      <c r="B78" s="288"/>
      <c r="C78" s="286"/>
      <c r="D78" s="286"/>
    </row>
    <row r="79" spans="1:4" s="264" customFormat="1" ht="12.75">
      <c r="A79" s="289"/>
      <c r="B79" s="290" t="s">
        <v>4</v>
      </c>
      <c r="C79" s="286"/>
      <c r="D79" s="286"/>
    </row>
    <row r="80" spans="1:4" s="264" customFormat="1" ht="12.75">
      <c r="A80" s="289"/>
      <c r="B80" s="291"/>
      <c r="C80" s="286"/>
      <c r="D80" s="286"/>
    </row>
    <row r="81" spans="1:4" s="264" customFormat="1" ht="12.75">
      <c r="A81" s="287" t="s">
        <v>6</v>
      </c>
      <c r="B81" s="288"/>
      <c r="C81" s="286"/>
      <c r="D81" s="286"/>
    </row>
    <row r="82" spans="1:4" s="264" customFormat="1" ht="12.75">
      <c r="A82" s="289"/>
      <c r="B82" s="290" t="s">
        <v>4</v>
      </c>
      <c r="C82" s="286"/>
      <c r="D82" s="286"/>
    </row>
    <row r="83" spans="1:4" s="264" customFormat="1" ht="12.75">
      <c r="A83" s="289" t="s">
        <v>5</v>
      </c>
      <c r="B83" s="351"/>
      <c r="C83" s="286"/>
      <c r="D83" s="286"/>
    </row>
  </sheetData>
  <sheetProtection/>
  <mergeCells count="10">
    <mergeCell ref="A6:D6"/>
    <mergeCell ref="A7:D7"/>
    <mergeCell ref="B76:C76"/>
    <mergeCell ref="C10:D10"/>
    <mergeCell ref="A1:D1"/>
    <mergeCell ref="A2:D2"/>
    <mergeCell ref="A3:D3"/>
    <mergeCell ref="A9:D9"/>
    <mergeCell ref="A10:B10"/>
    <mergeCell ref="A5:D5"/>
  </mergeCell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rgb="FFFF0000"/>
  </sheetPr>
  <dimension ref="A1:D58"/>
  <sheetViews>
    <sheetView showZeros="0" view="pageBreakPreview" zoomScale="145" zoomScaleSheetLayoutView="145" zoomScalePageLayoutView="0" workbookViewId="0" topLeftCell="A40">
      <selection activeCell="B29" sqref="B29"/>
    </sheetView>
  </sheetViews>
  <sheetFormatPr defaultColWidth="11.421875" defaultRowHeight="15"/>
  <cols>
    <col min="1" max="1" width="9.7109375" style="286" customWidth="1"/>
    <col min="2" max="2" width="55.57421875" style="286" customWidth="1"/>
    <col min="3" max="4" width="11.8515625" style="286" customWidth="1"/>
    <col min="5" max="16384" width="11.421875" style="254" customWidth="1"/>
  </cols>
  <sheetData>
    <row r="1" spans="1:4" ht="15.75">
      <c r="A1" s="544" t="s">
        <v>1506</v>
      </c>
      <c r="B1" s="544"/>
      <c r="C1" s="544"/>
      <c r="D1" s="544"/>
    </row>
    <row r="2" spans="1:4" ht="15">
      <c r="A2" s="545" t="s">
        <v>888</v>
      </c>
      <c r="B2" s="545"/>
      <c r="C2" s="545"/>
      <c r="D2" s="545"/>
    </row>
    <row r="3" spans="1:4" ht="15">
      <c r="A3" s="546" t="s">
        <v>1452</v>
      </c>
      <c r="B3" s="546"/>
      <c r="C3" s="546"/>
      <c r="D3" s="546"/>
    </row>
    <row r="4" spans="1:4" ht="15">
      <c r="A4" s="255"/>
      <c r="B4" s="255"/>
      <c r="C4" s="255"/>
      <c r="D4" s="255"/>
    </row>
    <row r="5" spans="1:4" s="264" customFormat="1" ht="31.5" customHeight="1">
      <c r="A5" s="547" t="s">
        <v>1458</v>
      </c>
      <c r="B5" s="548"/>
      <c r="C5" s="548"/>
      <c r="D5" s="548"/>
    </row>
    <row r="6" spans="1:4" s="264" customFormat="1" ht="31.5" customHeight="1">
      <c r="A6" s="547" t="s">
        <v>1473</v>
      </c>
      <c r="B6" s="548"/>
      <c r="C6" s="548"/>
      <c r="D6" s="548"/>
    </row>
    <row r="7" spans="1:4" s="264" customFormat="1" ht="12.75">
      <c r="A7" s="549" t="s">
        <v>1459</v>
      </c>
      <c r="B7" s="550"/>
      <c r="C7" s="550"/>
      <c r="D7" s="550"/>
    </row>
    <row r="8" spans="1:4" s="264" customFormat="1" ht="12.75">
      <c r="A8" s="296" t="s">
        <v>1460</v>
      </c>
      <c r="B8" s="297"/>
      <c r="C8" s="297"/>
      <c r="D8" s="297"/>
    </row>
    <row r="9" spans="1:4" ht="15">
      <c r="A9" s="548"/>
      <c r="B9" s="548"/>
      <c r="C9" s="548"/>
      <c r="D9" s="548"/>
    </row>
    <row r="10" spans="1:4" ht="15">
      <c r="A10" s="550" t="s">
        <v>1505</v>
      </c>
      <c r="B10" s="550"/>
      <c r="C10" s="552"/>
      <c r="D10" s="552"/>
    </row>
    <row r="11" spans="1:4" ht="15">
      <c r="A11" s="307"/>
      <c r="B11" s="307"/>
      <c r="C11" s="307"/>
      <c r="D11" s="307"/>
    </row>
    <row r="12" spans="1:4" ht="45" customHeight="1">
      <c r="A12" s="309" t="s">
        <v>886</v>
      </c>
      <c r="B12" s="299" t="s">
        <v>1455</v>
      </c>
      <c r="C12" s="309" t="s">
        <v>1464</v>
      </c>
      <c r="D12" s="299" t="s">
        <v>1465</v>
      </c>
    </row>
    <row r="13" spans="1:4" ht="15">
      <c r="A13" s="260">
        <v>1</v>
      </c>
      <c r="B13" s="260">
        <v>2</v>
      </c>
      <c r="C13" s="260">
        <v>3</v>
      </c>
      <c r="D13" s="260">
        <v>4</v>
      </c>
    </row>
    <row r="14" spans="1:4" s="412" customFormat="1" ht="12.75">
      <c r="A14" s="459">
        <v>1</v>
      </c>
      <c r="B14" s="450" t="s">
        <v>688</v>
      </c>
      <c r="C14" s="270"/>
      <c r="D14" s="460"/>
    </row>
    <row r="15" spans="1:4" s="412" customFormat="1" ht="25.5">
      <c r="A15" s="310" t="s">
        <v>20</v>
      </c>
      <c r="B15" s="461" t="s">
        <v>1254</v>
      </c>
      <c r="C15" s="462" t="s">
        <v>12</v>
      </c>
      <c r="D15" s="442">
        <v>50</v>
      </c>
    </row>
    <row r="16" spans="1:4" s="412" customFormat="1" ht="25.5">
      <c r="A16" s="310" t="s">
        <v>21</v>
      </c>
      <c r="B16" s="461" t="s">
        <v>1255</v>
      </c>
      <c r="C16" s="462" t="s">
        <v>12</v>
      </c>
      <c r="D16" s="442">
        <v>10</v>
      </c>
    </row>
    <row r="17" spans="1:4" s="412" customFormat="1" ht="25.5">
      <c r="A17" s="310" t="s">
        <v>240</v>
      </c>
      <c r="B17" s="461" t="s">
        <v>1256</v>
      </c>
      <c r="C17" s="462" t="s">
        <v>12</v>
      </c>
      <c r="D17" s="442">
        <v>320</v>
      </c>
    </row>
    <row r="18" spans="1:4" s="412" customFormat="1" ht="12.75">
      <c r="A18" s="310" t="s">
        <v>241</v>
      </c>
      <c r="B18" s="463" t="s">
        <v>689</v>
      </c>
      <c r="C18" s="464" t="s">
        <v>61</v>
      </c>
      <c r="D18" s="465">
        <v>6</v>
      </c>
    </row>
    <row r="19" spans="1:4" s="412" customFormat="1" ht="12.75">
      <c r="A19" s="310" t="s">
        <v>242</v>
      </c>
      <c r="B19" s="463" t="s">
        <v>690</v>
      </c>
      <c r="C19" s="464" t="s">
        <v>61</v>
      </c>
      <c r="D19" s="465">
        <v>5</v>
      </c>
    </row>
    <row r="20" spans="1:4" s="412" customFormat="1" ht="12.75">
      <c r="A20" s="310" t="s">
        <v>243</v>
      </c>
      <c r="B20" s="463" t="s">
        <v>691</v>
      </c>
      <c r="C20" s="464" t="s">
        <v>61</v>
      </c>
      <c r="D20" s="465">
        <v>33</v>
      </c>
    </row>
    <row r="21" spans="1:4" s="412" customFormat="1" ht="12.75">
      <c r="A21" s="310" t="s">
        <v>413</v>
      </c>
      <c r="B21" s="463" t="s">
        <v>692</v>
      </c>
      <c r="C21" s="464" t="s">
        <v>61</v>
      </c>
      <c r="D21" s="465">
        <v>47</v>
      </c>
    </row>
    <row r="22" spans="1:4" s="412" customFormat="1" ht="12.75">
      <c r="A22" s="310" t="s">
        <v>423</v>
      </c>
      <c r="B22" s="463" t="s">
        <v>693</v>
      </c>
      <c r="C22" s="464" t="s">
        <v>61</v>
      </c>
      <c r="D22" s="465">
        <v>60</v>
      </c>
    </row>
    <row r="23" spans="1:4" s="412" customFormat="1" ht="12.75">
      <c r="A23" s="310" t="s">
        <v>427</v>
      </c>
      <c r="B23" s="440" t="s">
        <v>679</v>
      </c>
      <c r="C23" s="464" t="s">
        <v>175</v>
      </c>
      <c r="D23" s="442">
        <v>1</v>
      </c>
    </row>
    <row r="24" spans="1:4" s="412" customFormat="1" ht="25.5">
      <c r="A24" s="310" t="s">
        <v>429</v>
      </c>
      <c r="B24" s="440" t="s">
        <v>869</v>
      </c>
      <c r="C24" s="441" t="s">
        <v>12</v>
      </c>
      <c r="D24" s="442">
        <v>260</v>
      </c>
    </row>
    <row r="25" spans="1:4" s="412" customFormat="1" ht="12.75">
      <c r="A25" s="472">
        <v>2</v>
      </c>
      <c r="B25" s="466" t="s">
        <v>695</v>
      </c>
      <c r="C25" s="270"/>
      <c r="D25" s="437"/>
    </row>
    <row r="26" spans="1:4" s="412" customFormat="1" ht="25.5">
      <c r="A26" s="310" t="s">
        <v>22</v>
      </c>
      <c r="B26" s="461" t="s">
        <v>1256</v>
      </c>
      <c r="C26" s="462" t="s">
        <v>12</v>
      </c>
      <c r="D26" s="442">
        <v>20</v>
      </c>
    </row>
    <row r="27" spans="1:4" s="412" customFormat="1" ht="12.75">
      <c r="A27" s="310" t="s">
        <v>23</v>
      </c>
      <c r="B27" s="463" t="s">
        <v>691</v>
      </c>
      <c r="C27" s="464" t="s">
        <v>61</v>
      </c>
      <c r="D27" s="465">
        <v>5</v>
      </c>
    </row>
    <row r="28" spans="1:4" s="412" customFormat="1" ht="12.75">
      <c r="A28" s="310" t="s">
        <v>24</v>
      </c>
      <c r="B28" s="463" t="s">
        <v>694</v>
      </c>
      <c r="C28" s="464" t="s">
        <v>175</v>
      </c>
      <c r="D28" s="465">
        <v>1</v>
      </c>
    </row>
    <row r="29" spans="1:4" s="412" customFormat="1" ht="12.75">
      <c r="A29" s="310" t="s">
        <v>25</v>
      </c>
      <c r="B29" s="440" t="s">
        <v>679</v>
      </c>
      <c r="C29" s="464" t="s">
        <v>175</v>
      </c>
      <c r="D29" s="442">
        <v>1</v>
      </c>
    </row>
    <row r="30" spans="1:4" s="412" customFormat="1" ht="12.75">
      <c r="A30" s="472">
        <v>3</v>
      </c>
      <c r="B30" s="466" t="s">
        <v>696</v>
      </c>
      <c r="C30" s="270"/>
      <c r="D30" s="437"/>
    </row>
    <row r="31" spans="1:4" s="412" customFormat="1" ht="38.25">
      <c r="A31" s="310" t="s">
        <v>795</v>
      </c>
      <c r="B31" s="467" t="s">
        <v>697</v>
      </c>
      <c r="C31" s="468" t="s">
        <v>175</v>
      </c>
      <c r="D31" s="468">
        <v>74</v>
      </c>
    </row>
    <row r="32" spans="1:4" s="412" customFormat="1" ht="51">
      <c r="A32" s="310" t="s">
        <v>796</v>
      </c>
      <c r="B32" s="467" t="s">
        <v>698</v>
      </c>
      <c r="C32" s="468" t="s">
        <v>175</v>
      </c>
      <c r="D32" s="468">
        <v>3</v>
      </c>
    </row>
    <row r="33" spans="1:4" s="412" customFormat="1" ht="51">
      <c r="A33" s="310" t="s">
        <v>797</v>
      </c>
      <c r="B33" s="467" t="s">
        <v>699</v>
      </c>
      <c r="C33" s="468" t="s">
        <v>175</v>
      </c>
      <c r="D33" s="468">
        <v>28</v>
      </c>
    </row>
    <row r="34" spans="1:4" s="412" customFormat="1" ht="51">
      <c r="A34" s="310" t="s">
        <v>798</v>
      </c>
      <c r="B34" s="467" t="s">
        <v>700</v>
      </c>
      <c r="C34" s="468" t="s">
        <v>175</v>
      </c>
      <c r="D34" s="468">
        <v>3</v>
      </c>
    </row>
    <row r="35" spans="1:4" s="412" customFormat="1" ht="25.5">
      <c r="A35" s="310" t="s">
        <v>799</v>
      </c>
      <c r="B35" s="467" t="s">
        <v>701</v>
      </c>
      <c r="C35" s="468" t="s">
        <v>175</v>
      </c>
      <c r="D35" s="468">
        <v>3</v>
      </c>
    </row>
    <row r="36" spans="1:4" s="412" customFormat="1" ht="38.25">
      <c r="A36" s="310" t="s">
        <v>800</v>
      </c>
      <c r="B36" s="467" t="s">
        <v>702</v>
      </c>
      <c r="C36" s="468" t="s">
        <v>175</v>
      </c>
      <c r="D36" s="468">
        <v>1</v>
      </c>
    </row>
    <row r="37" spans="1:4" s="412" customFormat="1" ht="25.5">
      <c r="A37" s="310" t="s">
        <v>801</v>
      </c>
      <c r="B37" s="467" t="s">
        <v>703</v>
      </c>
      <c r="C37" s="468" t="s">
        <v>175</v>
      </c>
      <c r="D37" s="468">
        <v>10</v>
      </c>
    </row>
    <row r="38" spans="1:4" s="412" customFormat="1" ht="25.5">
      <c r="A38" s="310" t="s">
        <v>802</v>
      </c>
      <c r="B38" s="467" t="s">
        <v>704</v>
      </c>
      <c r="C38" s="468" t="s">
        <v>175</v>
      </c>
      <c r="D38" s="468">
        <v>5</v>
      </c>
    </row>
    <row r="39" spans="1:4" s="412" customFormat="1" ht="12.75">
      <c r="A39" s="310" t="s">
        <v>803</v>
      </c>
      <c r="B39" s="467" t="s">
        <v>705</v>
      </c>
      <c r="C39" s="468" t="s">
        <v>175</v>
      </c>
      <c r="D39" s="468">
        <v>1</v>
      </c>
    </row>
    <row r="40" spans="1:4" s="412" customFormat="1" ht="12.75">
      <c r="A40" s="310" t="s">
        <v>804</v>
      </c>
      <c r="B40" s="463" t="s">
        <v>706</v>
      </c>
      <c r="C40" s="464" t="s">
        <v>175</v>
      </c>
      <c r="D40" s="465">
        <v>28</v>
      </c>
    </row>
    <row r="41" spans="1:4" s="412" customFormat="1" ht="12.75">
      <c r="A41" s="310" t="s">
        <v>805</v>
      </c>
      <c r="B41" s="469" t="s">
        <v>1257</v>
      </c>
      <c r="C41" s="464" t="s">
        <v>175</v>
      </c>
      <c r="D41" s="465">
        <v>1</v>
      </c>
    </row>
    <row r="42" spans="1:4" s="443" customFormat="1" ht="28.5" customHeight="1">
      <c r="A42" s="310" t="s">
        <v>806</v>
      </c>
      <c r="B42" s="473" t="s">
        <v>1258</v>
      </c>
      <c r="C42" s="453" t="s">
        <v>175</v>
      </c>
      <c r="D42" s="454">
        <v>1</v>
      </c>
    </row>
    <row r="43" spans="1:4" s="443" customFormat="1" ht="38.25">
      <c r="A43" s="310" t="s">
        <v>807</v>
      </c>
      <c r="B43" s="470" t="s">
        <v>1357</v>
      </c>
      <c r="C43" s="453" t="s">
        <v>175</v>
      </c>
      <c r="D43" s="454">
        <v>5</v>
      </c>
    </row>
    <row r="44" spans="1:4" s="443" customFormat="1" ht="12.75">
      <c r="A44" s="310">
        <v>4</v>
      </c>
      <c r="B44" s="471" t="s">
        <v>870</v>
      </c>
      <c r="C44" s="349" t="s">
        <v>794</v>
      </c>
      <c r="D44" s="271">
        <f>ROUND((D15+D16+D17+D26)/100,2)</f>
        <v>4</v>
      </c>
    </row>
    <row r="45" spans="1:4" s="443" customFormat="1" ht="12.75">
      <c r="A45" s="310">
        <v>5</v>
      </c>
      <c r="B45" s="268" t="s">
        <v>866</v>
      </c>
      <c r="C45" s="280" t="s">
        <v>2</v>
      </c>
      <c r="D45" s="271">
        <v>1</v>
      </c>
    </row>
    <row r="46" spans="1:4" s="443" customFormat="1" ht="12.75">
      <c r="A46" s="310">
        <v>6</v>
      </c>
      <c r="B46" s="455" t="s">
        <v>867</v>
      </c>
      <c r="C46" s="456" t="s">
        <v>2</v>
      </c>
      <c r="D46" s="457">
        <v>1</v>
      </c>
    </row>
    <row r="47" spans="1:4" ht="15">
      <c r="A47" s="273"/>
      <c r="B47" s="348" t="s">
        <v>1</v>
      </c>
      <c r="C47" s="349"/>
      <c r="D47" s="349"/>
    </row>
    <row r="48" spans="1:4" ht="153">
      <c r="A48" s="273"/>
      <c r="B48" s="269" t="s">
        <v>1469</v>
      </c>
      <c r="C48" s="349" t="s">
        <v>2</v>
      </c>
      <c r="D48" s="349">
        <v>1</v>
      </c>
    </row>
    <row r="49" spans="1:4" ht="15">
      <c r="A49" s="284"/>
      <c r="B49" s="541" t="s">
        <v>13</v>
      </c>
      <c r="C49" s="542"/>
      <c r="D49" s="285"/>
    </row>
    <row r="50" spans="2:4" ht="15">
      <c r="B50" s="254"/>
      <c r="C50" s="254"/>
      <c r="D50" s="254"/>
    </row>
    <row r="51" spans="1:4" s="264" customFormat="1" ht="12.75">
      <c r="A51" s="287" t="s">
        <v>14</v>
      </c>
      <c r="B51" s="288"/>
      <c r="C51" s="286"/>
      <c r="D51" s="286"/>
    </row>
    <row r="52" spans="1:4" s="264" customFormat="1" ht="12.75">
      <c r="A52" s="289"/>
      <c r="B52" s="290" t="s">
        <v>4</v>
      </c>
      <c r="C52" s="286"/>
      <c r="D52" s="286"/>
    </row>
    <row r="53" spans="1:4" s="264" customFormat="1" ht="12.75">
      <c r="A53" s="289"/>
      <c r="B53" s="291"/>
      <c r="C53" s="286"/>
      <c r="D53" s="286"/>
    </row>
    <row r="54" spans="1:4" s="264" customFormat="1" ht="12.75">
      <c r="A54" s="287" t="s">
        <v>6</v>
      </c>
      <c r="B54" s="288"/>
      <c r="C54" s="286"/>
      <c r="D54" s="286"/>
    </row>
    <row r="55" spans="1:4" s="264" customFormat="1" ht="12.75">
      <c r="A55" s="289"/>
      <c r="B55" s="290" t="s">
        <v>4</v>
      </c>
      <c r="C55" s="286"/>
      <c r="D55" s="286"/>
    </row>
    <row r="56" spans="1:4" s="264" customFormat="1" ht="12.75">
      <c r="A56" s="289" t="s">
        <v>5</v>
      </c>
      <c r="B56" s="351"/>
      <c r="C56" s="286"/>
      <c r="D56" s="286"/>
    </row>
    <row r="57" spans="1:2" ht="15">
      <c r="A57" s="392"/>
      <c r="B57" s="351"/>
    </row>
    <row r="58" ht="15">
      <c r="D58" s="293"/>
    </row>
  </sheetData>
  <sheetProtection/>
  <mergeCells count="10">
    <mergeCell ref="A6:D6"/>
    <mergeCell ref="A7:D7"/>
    <mergeCell ref="B49:C49"/>
    <mergeCell ref="C10:D10"/>
    <mergeCell ref="A1:D1"/>
    <mergeCell ref="A2:D2"/>
    <mergeCell ref="A3:D3"/>
    <mergeCell ref="A9:D9"/>
    <mergeCell ref="A10:B10"/>
    <mergeCell ref="A5:D5"/>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Iluta Kipure</cp:lastModifiedBy>
  <cp:lastPrinted>2017-08-14T12:37:26Z</cp:lastPrinted>
  <dcterms:created xsi:type="dcterms:W3CDTF">2012-05-22T12:04:26Z</dcterms:created>
  <dcterms:modified xsi:type="dcterms:W3CDTF">2017-11-10T12:54:01Z</dcterms:modified>
  <cp:category/>
  <cp:version/>
  <cp:contentType/>
  <cp:contentStatus/>
</cp:coreProperties>
</file>