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2060" windowHeight="9105" activeTab="6"/>
  </bookViews>
  <sheets>
    <sheet name="1.pielikums" sheetId="1" r:id="rId1"/>
    <sheet name="2.pielikums" sheetId="2" r:id="rId2"/>
    <sheet name="3.pielik." sheetId="3" r:id="rId3"/>
    <sheet name="4.pielik." sheetId="4" r:id="rId4"/>
    <sheet name="5.pielik." sheetId="5" r:id="rId5"/>
    <sheet name="6.pielik." sheetId="6" r:id="rId6"/>
    <sheet name="7.pielik." sheetId="7" r:id="rId7"/>
  </sheets>
  <definedNames/>
  <calcPr fullCalcOnLoad="1"/>
</workbook>
</file>

<file path=xl/comments3.xml><?xml version="1.0" encoding="utf-8"?>
<comments xmlns="http://schemas.openxmlformats.org/spreadsheetml/2006/main">
  <authors>
    <author>ligin</author>
    <author>Liga Bebrisha</author>
  </authors>
  <commentList>
    <comment ref="D920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VPP attīstiba
Pašv.ēku un pieguļošās infrastrukt.rek vēst centrā</t>
        </r>
      </text>
    </comment>
    <comment ref="D2795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Saules skolas infrastruktūras un mācibu aprīkojuma modernizācija Ls 514576
</t>
        </r>
      </text>
    </comment>
    <comment ref="D275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Energoefektivit.paaugstināšana D-pils pilsētas pašvaldības ēkās Ls 375000
</t>
        </r>
      </text>
    </comment>
    <comment ref="D975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Energef.paaugstin.D-pils pils.pašv.ēkās Ls 9801
D-pils cietokšņa Nikolaja ielas un tās apbūves atjaunošana Ls 16140
un 1830 izmaksu ieguvumu analīzei
</t>
        </r>
      </text>
    </comment>
    <comment ref="D993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Speciālistu piesaiste DPD administratīvās kapacitātes stipr. Ls 17931
D-pils pils.pašv.attīstības plānošanas kapacitātes paaugstināšana Ls 11205
</t>
        </r>
      </text>
    </comment>
    <comment ref="D1238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Multimediju resurss "Dziesmotā Latgale" Ls 1572
VIAA informatīvo stendu izvietošana Ls 670
</t>
        </r>
      </text>
    </comment>
    <comment ref="D173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Reto rāpuļu un abinieku aizsardzība Latvijā
</t>
        </r>
      </text>
    </comment>
    <comment ref="D2120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Skolu partnerības proj. Ruģeļu PII
</t>
        </r>
      </text>
    </comment>
    <comment ref="D118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Tūrisma un aktīvās atpūtas infrastruktūras izveide Jauno Stropu rajona, Daugavpilī" Ls 8052
 Topogrāfiskā uzmērīšana un topogrāfiskais plāns J.Stropu mikrorajonā gājēju /veloceliņu,slēpošanas trasei ar apgaismojumu  Ls 3613</t>
        </r>
      </text>
    </comment>
    <comment ref="D1644" authorId="0">
      <text>
        <r>
          <rPr>
            <sz val="8"/>
            <rFont val="Tahoma"/>
            <family val="0"/>
          </rPr>
          <t>Vienības nama apdrošināšana un invalīdu pacēlāja remonts 829
gaismekļu uzstādīšana 765</t>
        </r>
      </text>
    </comment>
    <comment ref="D1625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"D-pils Rotko mākslas centra rek." 1160 izmaksu-ieguvumu analīze
"A "  Radošo industriju attīstība
Ls 389211
"B"  Artilērijas Arsenāla ēkas rekonstrukcija D-pils Rotko Mākslas centra izveidei Ls 571429 
"C" D-pils Rotko mākslas centra ēkas rekonstrukcija un pieguļošās teritorijas labiekārtošana - 750000 Ls
 </t>
        </r>
      </text>
    </comment>
    <comment ref="D734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Norm.aktu prasībām neatbilstošas izgaztuves "Demene" rekultivācija       Lv 1191278
</t>
        </r>
      </text>
    </comment>
    <comment ref="D489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Autotr.mezgls Ls 6454735
Cietokšņa ielu infrastruktūra Ls 1719532
Satiksmes infrastrukt. 1.karta Ls 843242un aizņ.508246 kopā 1351488
Satiksmes infrastr.2.kārta Ls 3269872 
A-13 Ls 1150464</t>
        </r>
      </text>
    </comment>
    <comment ref="D1663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Ūdenstorņa ēkas paraugrestaurācija         Ls 220086
Dinaburgas cietokšņa Aleksandra vārtu fasāžu daļēja konservācija Ls 1500</t>
        </r>
      </text>
    </comment>
    <comment ref="D2776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1. Izgl.iest.inrastruktūras attīstība - energoefektiv.paaugstināšana Ls 5580479
2. Spec.II infrastr. Un aprīkojuma uzlab. Ls 165 324
3. Skolu informatizācija Ls 293 389</t>
        </r>
      </text>
    </comment>
    <comment ref="D938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t.sk. Muzeja 6 siltuma un karsta ūdens apg.sistēmas rek un projekts 2170+2728
Muzeja 6 elektroapgāde 7407;
kaķis 2300, Cēsu 20 apsardze Ls 3500 ;     un Ls300 ekspertīzei Sakņu ielā 35
</t>
        </r>
      </text>
    </comment>
    <comment ref="D956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Mihaila 3 pieslēgums pie elektroietaisēm</t>
        </r>
      </text>
    </comment>
  </commentList>
</comments>
</file>

<file path=xl/sharedStrings.xml><?xml version="1.0" encoding="utf-8"?>
<sst xmlns="http://schemas.openxmlformats.org/spreadsheetml/2006/main" count="3871" uniqueCount="609">
  <si>
    <t>Vēlēšanu komisija</t>
  </si>
  <si>
    <t>06.200</t>
  </si>
  <si>
    <t>Dome - projekti</t>
  </si>
  <si>
    <t>08.200</t>
  </si>
  <si>
    <t>Atbalsts sociāli atstumtām personām</t>
  </si>
  <si>
    <t xml:space="preserve"> - Saņemtā dotācija no vispārējiem ieņēmumiem</t>
  </si>
  <si>
    <t xml:space="preserve"> - Budžeta iestāžu ieņēmumi</t>
  </si>
  <si>
    <t xml:space="preserve"> - Saņemtie valsts budžeta transferti</t>
  </si>
  <si>
    <t xml:space="preserve"> - Preces un pakalpojumi</t>
  </si>
  <si>
    <t xml:space="preserve"> - Procentu izdevumi</t>
  </si>
  <si>
    <t xml:space="preserve"> - Subsīdijas un dotācijas</t>
  </si>
  <si>
    <t xml:space="preserve"> - Pamatkapitāla veidošana</t>
  </si>
  <si>
    <t xml:space="preserve"> - Sociālie pabalsti</t>
  </si>
  <si>
    <t>Dome- projekti</t>
  </si>
  <si>
    <t>B-ba "Sieviešu volejbola klubs "Ezerzeme""</t>
  </si>
  <si>
    <t>B-ba "Volejbola  klubs "Ezerzeme""   (vīriešu komanda)</t>
  </si>
  <si>
    <t>B-ba "Daugavpils pilsētas basketbola klubs"</t>
  </si>
  <si>
    <t>B-ba "Zirgu sporta cienītāju bērnu klubs"</t>
  </si>
  <si>
    <t>B-ba "Invalīdu sporta klubs "Daugavpils""</t>
  </si>
  <si>
    <t>B-ba "Neredzīgo sporta klubs "Elpa""</t>
  </si>
  <si>
    <t>B-ba "Daugavpils sporta asociācija Atlants"</t>
  </si>
  <si>
    <t>B-ba "Daugavpils pilsētas sporta klubs "DINAZIS"</t>
  </si>
  <si>
    <t>X</t>
  </si>
  <si>
    <t>Metodiskais darbs un pārējie izglītības pasākumi  (projekti)</t>
  </si>
  <si>
    <t>Izglītības iestāžu piecgadīgo un sešgadīgo bērnu apmācības pedagogu atalgojums</t>
  </si>
  <si>
    <r>
      <t>Pašvaldības SIA "Daugavpils ūdens"</t>
    </r>
    <r>
      <rPr>
        <i/>
        <sz val="9"/>
        <rFont val="Times New Roman Baltic"/>
        <family val="1"/>
      </rPr>
      <t xml:space="preserve"> ("Ūdenssaimniecības attīstība Daugavpilī 2.kārta"projekta līdzfinansējums)</t>
    </r>
  </si>
  <si>
    <t>Sociālo lietu pārvalde - projekti</t>
  </si>
  <si>
    <t>B-ba "Daugavpils triatlona centrs"</t>
  </si>
  <si>
    <t>Ielu rekonstrukcija (Rīgas, Nometņu, 2.preču, Vidzemes un projektu izstrāde)</t>
  </si>
  <si>
    <t xml:space="preserve">Mērķdotācijas pašvaldību pirmsskolas izglītības iestādēs  nodarbināto pedagogu darba samaksas paaugstināšanai un valsts sociālās apdrošināšanas obligātajām iemaksām </t>
  </si>
  <si>
    <t>Pašvaldības kopbudžeta ieņēmumi kopā (II+III)</t>
  </si>
  <si>
    <t>Kompensācija par  braukšanas maksas atvieglojumiem pilsētas sabiedriskajā transportā</t>
  </si>
  <si>
    <t>B-ba "Latgales Airēšanas un tūrisma centrs"</t>
  </si>
  <si>
    <t>3.pielikums</t>
  </si>
  <si>
    <t>Klasifikācijas kods</t>
  </si>
  <si>
    <t>Nosaukums</t>
  </si>
  <si>
    <t>Daugavpils pilsētas dome</t>
  </si>
  <si>
    <t>Resursi  izdevumu  segšanai</t>
  </si>
  <si>
    <t>Izdevumi - kopā</t>
  </si>
  <si>
    <t xml:space="preserve">Daugavpils pilsētas dome </t>
  </si>
  <si>
    <t>03.000</t>
  </si>
  <si>
    <t>Glābšanas dienests</t>
  </si>
  <si>
    <t>Pašvaldības policija</t>
  </si>
  <si>
    <t>04.000</t>
  </si>
  <si>
    <t>Izglītība</t>
  </si>
  <si>
    <t>Izglītības pārvalde</t>
  </si>
  <si>
    <t>Sākumskolas, pamatskolas, vidusskolas</t>
  </si>
  <si>
    <t>04.220</t>
  </si>
  <si>
    <t>Mācību literatūras iegāde</t>
  </si>
  <si>
    <t>Mākslas vidusskola "Saules skola"</t>
  </si>
  <si>
    <t>05.000</t>
  </si>
  <si>
    <t>06.000</t>
  </si>
  <si>
    <t>Sociālā apdrošināšana un sociālā nodrošināšana</t>
  </si>
  <si>
    <t>Sociālo lietu pārvalde</t>
  </si>
  <si>
    <t>Pensionāru sociālās apkalpošanas teritoriālais centrs</t>
  </si>
  <si>
    <t>Bāriņtiesa</t>
  </si>
  <si>
    <t>07.000</t>
  </si>
  <si>
    <t>Daugavpils pilsētas domes komunālās saimniecības nodaļa</t>
  </si>
  <si>
    <t>Ielu apgaismošana</t>
  </si>
  <si>
    <t>Dzīvojamās telpas atbrīvošanas pabalsti</t>
  </si>
  <si>
    <t>08.000</t>
  </si>
  <si>
    <t>Jaunatnes lietu nodaļa</t>
  </si>
  <si>
    <t>08.100</t>
  </si>
  <si>
    <t>Kultūras pasākumi</t>
  </si>
  <si>
    <t>Tautas mākslas pašdarbības kolektīvu vadītāju izdevumi darba algām un sociālā nodokļa nomaksai</t>
  </si>
  <si>
    <t>08.220</t>
  </si>
  <si>
    <t>08.210</t>
  </si>
  <si>
    <t>Latgales centrālā bibliotēka</t>
  </si>
  <si>
    <t>Latviešu kultūras centrs</t>
  </si>
  <si>
    <t>08.230</t>
  </si>
  <si>
    <t>Poļu kultūras centrs</t>
  </si>
  <si>
    <t>Baltkrievu kultūras centrs</t>
  </si>
  <si>
    <t>Krievu kultūras centrs</t>
  </si>
  <si>
    <t>Latgales zoodārzs</t>
  </si>
  <si>
    <t>09.000</t>
  </si>
  <si>
    <t>SIA "Daugavpils lidosta"</t>
  </si>
  <si>
    <t>Norēķini ar pašvaldību budžetiem par citu pašvaldību izglītības iestāžu sniegtajiem pakalpojumiem</t>
  </si>
  <si>
    <t>Izdevumi neparedzētiem gadījumiem</t>
  </si>
  <si>
    <t>Līdzekļi projektu realizācijai</t>
  </si>
  <si>
    <t>Banku pakalpojumi u.c.</t>
  </si>
  <si>
    <t>Vispārējie valdības dienesti</t>
  </si>
  <si>
    <t>01. 000</t>
  </si>
  <si>
    <t>01.890</t>
  </si>
  <si>
    <t>01.600</t>
  </si>
  <si>
    <t>01.720</t>
  </si>
  <si>
    <t>01.830</t>
  </si>
  <si>
    <t>Pārējie citur neklasificētie vispārēja rakstura transferti starp dažādiem valsts pārvaldes līmeņiem</t>
  </si>
  <si>
    <t>Sabiedriskā kārtība un drošība</t>
  </si>
  <si>
    <t>Ekonomiskā darbība</t>
  </si>
  <si>
    <t>Mežsaimniecība</t>
  </si>
  <si>
    <t>04.510</t>
  </si>
  <si>
    <t>Ceļu infrastruktūras uzturēšana</t>
  </si>
  <si>
    <t>Vides aizsardzība</t>
  </si>
  <si>
    <t>05.100</t>
  </si>
  <si>
    <t>05.200</t>
  </si>
  <si>
    <t>Notekūdeņu apsaimniekošana</t>
  </si>
  <si>
    <t>Pašvaldības teritoriju un mājokļu apsaimniekošana</t>
  </si>
  <si>
    <t>06.600</t>
  </si>
  <si>
    <t>06.400</t>
  </si>
  <si>
    <t>09.600</t>
  </si>
  <si>
    <r>
      <t xml:space="preserve">Atbalsts skolēnu ēdināšanai </t>
    </r>
    <r>
      <rPr>
        <u val="single"/>
        <sz val="9"/>
        <rFont val="Times New Roman Baltic"/>
        <family val="1"/>
      </rPr>
      <t>(pamatizglītības iestāžu skolēnu ēdināšana)</t>
    </r>
  </si>
  <si>
    <t>Pārējā citur neklasificētā pašvaldību teritoriju un mājokļa apsaimniekošanas darbība</t>
  </si>
  <si>
    <t>06.100</t>
  </si>
  <si>
    <t>06.300</t>
  </si>
  <si>
    <t>Veselība</t>
  </si>
  <si>
    <t>07.210</t>
  </si>
  <si>
    <t>10.000</t>
  </si>
  <si>
    <t>08.610</t>
  </si>
  <si>
    <t>08.290</t>
  </si>
  <si>
    <t>09.210</t>
  </si>
  <si>
    <t>09.510</t>
  </si>
  <si>
    <t xml:space="preserve">Specializētās pirmsskolas izglītības iestādes </t>
  </si>
  <si>
    <t>09.810</t>
  </si>
  <si>
    <t>10.910</t>
  </si>
  <si>
    <t>10.700</t>
  </si>
  <si>
    <t>10.200</t>
  </si>
  <si>
    <t>10.120</t>
  </si>
  <si>
    <t>10.600</t>
  </si>
  <si>
    <t>08.620</t>
  </si>
  <si>
    <t>Pārējā izglītības pārvaldes vadība</t>
  </si>
  <si>
    <t xml:space="preserve">IZDEVUMI KOPĀ </t>
  </si>
  <si>
    <t>Atpūta, kultūra un reliģija</t>
  </si>
  <si>
    <t>01.100</t>
  </si>
  <si>
    <t>03.110</t>
  </si>
  <si>
    <t>03.200</t>
  </si>
  <si>
    <t>09.100</t>
  </si>
  <si>
    <t>09.820</t>
  </si>
  <si>
    <t>Privatizācijas fonda līdzekļi</t>
  </si>
  <si>
    <t>Dabas resursu nodoklis</t>
  </si>
  <si>
    <t>Autoceļu (ielu) fonda līdzekļi</t>
  </si>
  <si>
    <t>01.000</t>
  </si>
  <si>
    <t>Sociālā aizsardzība</t>
  </si>
  <si>
    <t>04.730</t>
  </si>
  <si>
    <t>Naudas līdzekļi (atlikuma izmaiņas)</t>
  </si>
  <si>
    <t>Budžeta līdzekļu atlikums gada sākumā</t>
  </si>
  <si>
    <t>Budžeta līdzekļu atlikums pārskata perioda beigās</t>
  </si>
  <si>
    <t>Daugavpils Novadpētniecības un mākslas muzejs</t>
  </si>
  <si>
    <t>Ziedojumu un dāvinājumu ieņēmumi</t>
  </si>
  <si>
    <t>1.pielikums</t>
  </si>
  <si>
    <t xml:space="preserve">I </t>
  </si>
  <si>
    <t xml:space="preserve">II </t>
  </si>
  <si>
    <t>Pašvaldības pamatbudžeta ieņēmumi</t>
  </si>
  <si>
    <t>Nodokļu ieņēmumi</t>
  </si>
  <si>
    <t>Nenodokļu ieņēmumi</t>
  </si>
  <si>
    <t>Transfertu ieņēmumi</t>
  </si>
  <si>
    <t>Budžeta iestāžu ieņēmumi</t>
  </si>
  <si>
    <t>III</t>
  </si>
  <si>
    <t>Pašvaldības speciālā budžeta ieņēmumi (neieskaitot ziedojumus un dāvinājumus)</t>
  </si>
  <si>
    <t>Mērķdotācijas regulārajiem pasažieru pārvadājumiem</t>
  </si>
  <si>
    <t>IV</t>
  </si>
  <si>
    <t>V</t>
  </si>
  <si>
    <t>VI</t>
  </si>
  <si>
    <t>Pašvaldības pamatbudžeta izdevumi</t>
  </si>
  <si>
    <t>VII</t>
  </si>
  <si>
    <t>Pašvaldības speciālā budžeta izdevumi (neieskaitot ziedojumus un dāvinājumus)</t>
  </si>
  <si>
    <t>VIII</t>
  </si>
  <si>
    <t>Ziedojumu un dāvinājumu izdevumi</t>
  </si>
  <si>
    <t>IX</t>
  </si>
  <si>
    <t>Pārējie īpašiem mērķiem iezīmētie līdzekļi</t>
  </si>
  <si>
    <t>Ieņēmumu pārsniegums (+) vai deficīts (-)</t>
  </si>
  <si>
    <t>Finansēšana</t>
  </si>
  <si>
    <t>2.pielikums</t>
  </si>
  <si>
    <t>1.1.0.0.</t>
  </si>
  <si>
    <t>4.0.0.0.</t>
  </si>
  <si>
    <t>Īpašuma nodokļi</t>
  </si>
  <si>
    <t>4.1.1.0.</t>
  </si>
  <si>
    <t>Nekustamā īpašuma nodoklis par zemi</t>
  </si>
  <si>
    <t>4.1.2.0.</t>
  </si>
  <si>
    <t>5.0.0.0.</t>
  </si>
  <si>
    <t>Nodokļi par pakalpojumiem un precēm</t>
  </si>
  <si>
    <t>9.0.0.0.</t>
  </si>
  <si>
    <t>10.0.0.0.</t>
  </si>
  <si>
    <t>12.0.0.0.</t>
  </si>
  <si>
    <t>Pārējie nenodokļu ieņēmumi</t>
  </si>
  <si>
    <t>13.0.0.0.</t>
  </si>
  <si>
    <t>18.0.0.0.</t>
  </si>
  <si>
    <t>19.2.0.0.</t>
  </si>
  <si>
    <t>Ieņēmumi pašvaldību budžetā no citām pašvaldībām</t>
  </si>
  <si>
    <t>21.3.0.0.</t>
  </si>
  <si>
    <t>Ieņēmumi no budžeta iestāžu sniegtajiem maksas pakalpojumiem un citi pašu ieņēmumi</t>
  </si>
  <si>
    <t>No citām tā paša līmeņa valsts pārvaldes struktūrām</t>
  </si>
  <si>
    <t>Naudas līdzekļi  (atlikuma izmaiņas)</t>
  </si>
  <si>
    <t>4.pielikums</t>
  </si>
  <si>
    <t>Budžeta līdzekļu atlikums gada sākumā, tai skaitā:</t>
  </si>
  <si>
    <t>VI   Budžeta iestāžu ieņēmumi</t>
  </si>
  <si>
    <t>VIII Ieņēmumu pārsniegums (+) vai deficīts(-)  (I-VII)</t>
  </si>
  <si>
    <t>Grozījumi</t>
  </si>
  <si>
    <t>Pašvaldībai piekrītošo zemes gabalu uzturēšanas izdevumu apmaksa</t>
  </si>
  <si>
    <r>
      <t xml:space="preserve">III  Nodokļu ieņēmumi </t>
    </r>
    <r>
      <rPr>
        <b/>
        <sz val="8"/>
        <rFont val="Times New Roman Baltic"/>
        <family val="1"/>
      </rPr>
      <t>(1.1.+4.0.+5.0.)</t>
    </r>
  </si>
  <si>
    <t>no vispārējiem pašvaldības budžeta ieņēmumiem</t>
  </si>
  <si>
    <t>Valsts budžeta transferti, t.sk.:</t>
  </si>
  <si>
    <t>Sporta centrs Daugavpils ledus</t>
  </si>
  <si>
    <t>Dienas aprūpes centrs personām ar garīga rakstura traucējumiem "Cerība"</t>
  </si>
  <si>
    <t>Aizņēmumi</t>
  </si>
  <si>
    <t>Saņemtie ilgtermiņa aizņēmumi</t>
  </si>
  <si>
    <t>Saņemto ilgtermiņa aizņēmumu atmaksa</t>
  </si>
  <si>
    <t>Valsts kasei:</t>
  </si>
  <si>
    <t>Akcijas un cita līdzdalība komersantu pašu kapitālā</t>
  </si>
  <si>
    <t>Komercbankām:</t>
  </si>
  <si>
    <t>I Ieņēmumi kopā (II+V+VI)</t>
  </si>
  <si>
    <t>II  Nodokļu un nenodokļu ieņēmumi (III+IV)</t>
  </si>
  <si>
    <t xml:space="preserve">IX Finansēšana </t>
  </si>
  <si>
    <t xml:space="preserve">Mākslas vidusskola "Saules skola" </t>
  </si>
  <si>
    <t>Daugavpils Novadpētniecības un mākslas muzejs (projekti)</t>
  </si>
  <si>
    <t>Atbalsts gados veciem cilvēkiem</t>
  </si>
  <si>
    <t>Sociālo lietu pārvalde (sociālo darbinieku atalgojuma daļējai nodrošināšānai)</t>
  </si>
  <si>
    <t>Kultūras pārvalde</t>
  </si>
  <si>
    <t xml:space="preserve">Sākumskolas, pamatskolas, vidusskolas </t>
  </si>
  <si>
    <t>Interešu un profesionālās ievirzes izglītības</t>
  </si>
  <si>
    <t xml:space="preserve">Pašvaldības nekustamā īpašuma atsavināšanas procesa nodrošināšana                                        </t>
  </si>
  <si>
    <t>Dotācijas sporta klubiem*</t>
  </si>
  <si>
    <t xml:space="preserve">Metodiskais darbs un pārējie izglītības pasākumi </t>
  </si>
  <si>
    <t>No valsts budžeta finansētie  investīciju projekti pirmsskolas izglītības iestādēm</t>
  </si>
  <si>
    <t>No valsts budžeta finansētie investīciju projekti vispārizglītojošajām skolām</t>
  </si>
  <si>
    <t>No valsts budžeta finansēts investīciju projekts "Daugavpils Vienības nama ēkas rekonstrukcija"</t>
  </si>
  <si>
    <t xml:space="preserve">B-ba"Speedway Grand Prix of Latvija" SK  "Lokomotīve" </t>
  </si>
  <si>
    <t xml:space="preserve">B-ba"Speedway Grand Prix of Latvija" </t>
  </si>
  <si>
    <t>Latviešu kultūras centrs         (Projekti)</t>
  </si>
  <si>
    <t>projektu naudas līdzekļu atlikumi</t>
  </si>
  <si>
    <t>08.240</t>
  </si>
  <si>
    <t>21.4.0.0.</t>
  </si>
  <si>
    <t>Daugavpils pilsētas dome - projekti</t>
  </si>
  <si>
    <t>SIA "Hansa Līzings" - Izglītības pārvaldes autobusa līzings</t>
  </si>
  <si>
    <t>Sākumskolas, pamatskolas, vidusskolas  (projekti)</t>
  </si>
  <si>
    <t>Valsts dotācija zaudējumu segšanai sabiedriskā transporta pakalpojumu sniedzējiem</t>
  </si>
  <si>
    <t>SIA "Baltijas Autolīzings" Pašvaldības policijas operatīvā transporta līzings</t>
  </si>
  <si>
    <t>maksas pakalpojumu atlikumi</t>
  </si>
  <si>
    <t>21.1.0.0.</t>
  </si>
  <si>
    <t>Budžeta iestāžu ieņēmumi no ārvalstu finanšu palīdzības</t>
  </si>
  <si>
    <t>Pašvaldības  teritoriju un mājokļu apsaimniekošana</t>
  </si>
  <si>
    <t>Pilsētas ielu rekonstrukcija un kapitālais remonts</t>
  </si>
  <si>
    <r>
      <t>Pašvaldības kopbudžeta izdevumi kopā</t>
    </r>
    <r>
      <rPr>
        <b/>
        <sz val="9"/>
        <rFont val="Times New Roman Baltic"/>
        <family val="1"/>
      </rPr>
      <t xml:space="preserve"> (VI+VII+VIII)</t>
    </r>
  </si>
  <si>
    <t>SIA "Hansa Līzings" SIA "Baltijas Autolīzings" -Domes autotransporta līzingi</t>
  </si>
  <si>
    <t>Saņemto aizņēmumu atmaksa</t>
  </si>
  <si>
    <t>Saņemto  aizņēmumu atmaksa</t>
  </si>
  <si>
    <t>Saņemtie aizņēmumi</t>
  </si>
  <si>
    <t xml:space="preserve"> - Uzturēšanas izdevumu transferti</t>
  </si>
  <si>
    <t>04.500</t>
  </si>
  <si>
    <t>ES finansētā projekta "Ūdenssaimniecības attīstība Daugavpilī,2.kārta"2009.gada  līdzfinansējuma nodrošināšana</t>
  </si>
  <si>
    <t>Pašvaldības dotācija zaudējumu segšanai sabiedriskā transporta pakalpojumu sniedzējiem</t>
  </si>
  <si>
    <t>saistošajiem noteikumiem Nr.</t>
  </si>
  <si>
    <t>(protokols Nr.      .&amp;)</t>
  </si>
  <si>
    <t>Atkritumu apsaimniekošana</t>
  </si>
  <si>
    <t>F21 01 00 00</t>
  </si>
  <si>
    <t>F40 02 00 00</t>
  </si>
  <si>
    <t>F40 32 00 10</t>
  </si>
  <si>
    <t>F40 32 00 20</t>
  </si>
  <si>
    <t>F50 01 00 00</t>
  </si>
  <si>
    <t>ERAF- Valsts nozīmes pilsētbūvniecības pieminekļu saglabāšana, atjaunošana un infrastruktūras pielāgošana tūrisma produkta attīstībai" programmas aktivitātes</t>
  </si>
  <si>
    <t>04.900</t>
  </si>
  <si>
    <t>Kultūras pārvalde - projekti</t>
  </si>
  <si>
    <t>Daugavpils pilsētas domes budžeta iestāde "Kultūras pils"</t>
  </si>
  <si>
    <t>Ieņēmumi no iedzīvotāju ienākuma nodokļa</t>
  </si>
  <si>
    <t>Nekustamā īpašuma nodoklis par ēkām</t>
  </si>
  <si>
    <t>Valsts (pašvaldību) nodevas un kancelejas nodevas</t>
  </si>
  <si>
    <t>Naudas sodi un sankcijas</t>
  </si>
  <si>
    <t>Ieņēmumi no valsts (pašvaldību) īpašuma iznomāšanas,pārdošanas un no nodokļu pamatparāda kapitalizācijas</t>
  </si>
  <si>
    <t>Pārējie budžeta iestāžu pašu ieņēmumi</t>
  </si>
  <si>
    <t>VII   Budžeta izdevumi atbilstoši funkcionālajām kategorijām</t>
  </si>
  <si>
    <t>Latviešu kultūras centrs - projekti</t>
  </si>
  <si>
    <t>ES finansētā projekta "Pārrobežu teritorijas atraktivitātes veicināšana, paaugstinot kultūras iestāžu vadības efektivitāti" īstenošanai</t>
  </si>
  <si>
    <t>5.pielikums</t>
  </si>
  <si>
    <t>A/s "Ge Money Bank" - BJC"Jaunība" mikroautobusa līzings</t>
  </si>
  <si>
    <t xml:space="preserve">Atbalsts skolēnu pārvadājumiem </t>
  </si>
  <si>
    <t xml:space="preserve">Dome - projekti </t>
  </si>
  <si>
    <t>Pirmsskolas izglītības iestādes</t>
  </si>
  <si>
    <t>Mākslas vidusskola "Saules skola"  (projekti)</t>
  </si>
  <si>
    <t>Pašvaldības līdzdalības programma daudzdzīvokļu dzīvojamo māju   energoefektivitātes pasākumiem</t>
  </si>
  <si>
    <r>
      <t xml:space="preserve">Kultūras pārvalde </t>
    </r>
    <r>
      <rPr>
        <i/>
        <sz val="9"/>
        <rFont val="Times New Roman Baltic"/>
        <family val="1"/>
      </rPr>
      <t>(pārvalde un vadība)</t>
    </r>
  </si>
  <si>
    <r>
      <t xml:space="preserve">Jaunatnes lietu nodaļa </t>
    </r>
    <r>
      <rPr>
        <i/>
        <sz val="9"/>
        <rFont val="Times New Roman Baltic"/>
        <family val="1"/>
      </rPr>
      <t>(pārvalde un vadība)</t>
    </r>
  </si>
  <si>
    <r>
      <t xml:space="preserve">Pārējie atpūtas pasākumi </t>
    </r>
    <r>
      <rPr>
        <i/>
        <sz val="9"/>
        <rFont val="Times New Roman Baltic"/>
        <family val="1"/>
      </rPr>
      <t>(darbs ar jaunatni)</t>
    </r>
  </si>
  <si>
    <r>
      <t xml:space="preserve">Pārējie atpūtas pasākumi </t>
    </r>
    <r>
      <rPr>
        <i/>
        <sz val="9"/>
        <rFont val="Times New Roman Baltic"/>
        <family val="1"/>
      </rPr>
      <t>(nometnes)</t>
    </r>
  </si>
  <si>
    <r>
      <t xml:space="preserve">Sociālo lietu pārvalde </t>
    </r>
    <r>
      <rPr>
        <i/>
        <sz val="9"/>
        <rFont val="Times New Roman Baltic"/>
        <family val="1"/>
      </rPr>
      <t>(pārvalde un vadība)</t>
    </r>
  </si>
  <si>
    <t>Dalības maksa sabiedriskajās organizācijās</t>
  </si>
  <si>
    <t>Latvijas pašvaldību savienībai</t>
  </si>
  <si>
    <t>Latvijas Lielo pilsētu asociācijai</t>
  </si>
  <si>
    <t>Izpilddirektoru asociācijai</t>
  </si>
  <si>
    <t>Finansiālā bilance</t>
  </si>
  <si>
    <t xml:space="preserve"> - Naudas līdzekļi </t>
  </si>
  <si>
    <t xml:space="preserve">   Finansēšana</t>
  </si>
  <si>
    <t xml:space="preserve"> - Saņemtie aizņēmumi</t>
  </si>
  <si>
    <t xml:space="preserve"> - Saņemto aizņēmumu atmaksa</t>
  </si>
  <si>
    <t>Pašvaldību  budžetā saņemtā dotācija no pašvaldību finanšu izlīdzināšanas fonda</t>
  </si>
  <si>
    <t>6.pielik.</t>
  </si>
  <si>
    <t>7.pielik.</t>
  </si>
  <si>
    <t>Mērķdotācijas pašvaldībām - interešu izglītības programmu pedagogu daļējai darba samaksai un valsts sociālās apdrošināšanas obligātajām iemaksām</t>
  </si>
  <si>
    <t>8.pielik.</t>
  </si>
  <si>
    <t>10.pielik.</t>
  </si>
  <si>
    <t>Mērķdotācijas pašvaldībām - pašvaldību speciālajā pirmsskolas iestādēm, internātskolas un sanatoriju tipa internātskolām, speciālajām internātskolām bērniem ar fiziskās un garīgās attīstības traucējumiem</t>
  </si>
  <si>
    <t xml:space="preserve"> - Atlīdzība</t>
  </si>
  <si>
    <t>10.500</t>
  </si>
  <si>
    <t>Detoksikācijas pakalpojumu apmaksa</t>
  </si>
  <si>
    <t>SIA "Daugavpils teātris"</t>
  </si>
  <si>
    <t>Biedrība "Tūrisma informācijas centrs"</t>
  </si>
  <si>
    <t>Daugavpils Bērnu un jaunatnes sporta skola</t>
  </si>
  <si>
    <t>Speciālā izglītības iestādes (projekti)</t>
  </si>
  <si>
    <t>Daugavpils pilsētas Sporta pārvalde</t>
  </si>
  <si>
    <r>
      <t xml:space="preserve">Daugavpils pilsētas Sporta pārvalde </t>
    </r>
    <r>
      <rPr>
        <i/>
        <sz val="9"/>
        <rFont val="Times New Roman Baltic"/>
        <family val="1"/>
      </rPr>
      <t>(pārvalde un vadība)</t>
    </r>
  </si>
  <si>
    <t>Pirmsskolas izglītības iestādes (projekti)</t>
  </si>
  <si>
    <t>05.300</t>
  </si>
  <si>
    <t>ES finansētā projekta "VPP attīstība Daugavpils cietoksnī" īstenošanai</t>
  </si>
  <si>
    <t>ES finansētā projekta "Daugavpils vēsturiskā centra dominantes - Vienības nama atjaunošana" īstenošanai</t>
  </si>
  <si>
    <t>10.001</t>
  </si>
  <si>
    <t>Sociālo lietu pārvalde - VB kompensācija GMI un dzīvokļu pabalstiem</t>
  </si>
  <si>
    <t>8.0.0.0.</t>
  </si>
  <si>
    <t>Ieņēmumi no uzņēmējdarbības un īpašuma</t>
  </si>
  <si>
    <t>Daugavpils pilsētas  Sporta pārvaldes Sporta medicīnas centrs</t>
  </si>
  <si>
    <t>B-ba "Bērnu futbola centrs Daugava"</t>
  </si>
  <si>
    <t>B-ba "Sambo un džudo bentrs SINGITAJ"</t>
  </si>
  <si>
    <t>B-ba "Latgales peldēšanas centrs"</t>
  </si>
  <si>
    <t>B-ba "Daugavpils pilsētas šaha-dambretes klubs"</t>
  </si>
  <si>
    <t>Orientēšanās klubs "Stiga"</t>
  </si>
  <si>
    <t>Paukotāju sporta klubs "ESPA Daugava"</t>
  </si>
  <si>
    <t>B-ba "Da-marathon"</t>
  </si>
  <si>
    <t>B-ba "Daugavpils kartinga klubs"</t>
  </si>
  <si>
    <t>B-ba "LFSKA" (karatē)</t>
  </si>
  <si>
    <t>Ieņēmumi ES struktūrfondu finansēto projektu īstenošanai</t>
  </si>
  <si>
    <t>Finanšu izlīdzināšanas rezultātā saņemtās dotācijas</t>
  </si>
  <si>
    <t>IV  Nenodokļu ieņēmumi (8.0+9.0.+10.0.+12.0.+13.0.)</t>
  </si>
  <si>
    <t xml:space="preserve"> V  Transfertu ieņēmumi  (18.0.+ 19.2.)</t>
  </si>
  <si>
    <t xml:space="preserve">                                                                                                                         Daugavpils pilsētas pašvaldības ilgtermiņa saistību grafiks (latos)</t>
  </si>
  <si>
    <t>Kods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</si>
  <si>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</si>
  <si>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</si>
  <si>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</si>
  <si>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</si>
  <si>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</si>
  <si>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(1.+2.+3.+4.+5.+6.+7.+8)</t>
  </si>
  <si>
    <t>A</t>
  </si>
  <si>
    <t>B</t>
  </si>
  <si>
    <t>C</t>
  </si>
  <si>
    <t>D</t>
  </si>
  <si>
    <t>E</t>
  </si>
  <si>
    <t>09</t>
  </si>
  <si>
    <t>Valsts Kase</t>
  </si>
  <si>
    <t>S13 01 00</t>
  </si>
  <si>
    <t>25.03.2009.</t>
  </si>
  <si>
    <t>SIA "Dzksu" pamatkapitāla palielināšanai</t>
  </si>
  <si>
    <t>20.11.2008.</t>
  </si>
  <si>
    <t>ERAF projekta "Daugavpils sociālās dzīvojamās mājas Šaurā ielā 28 siltumnoturības uzlabošanas pasākumi" īstenošanai</t>
  </si>
  <si>
    <t>04.08.2009</t>
  </si>
  <si>
    <t>Latvijas  - Lietuvas pārrobežu sadarbības programmas projekta "Kreatīvā tūrisma attīstība, izveidojot Māla mākslas centrus D-pilī un Utenā" īstenošanai</t>
  </si>
  <si>
    <t>04.08.2009.</t>
  </si>
  <si>
    <t>ERAF projekta " Pirmsskolas izglītības iestāžu infrastruktūras attīstība Daugavpilī" īstenošanai</t>
  </si>
  <si>
    <t>S12 20 00</t>
  </si>
  <si>
    <t>Daugavpils pilsētas domes īstermiņa saistību pārkreditēšanai</t>
  </si>
  <si>
    <t>20.10.2003.</t>
  </si>
  <si>
    <t>A/S "Daugavpils siltumtīkli" pamatkapitāla palielināšanai</t>
  </si>
  <si>
    <t>28.02.2002.</t>
  </si>
  <si>
    <t>Daugavpils pilsētas ielu rekonstrukcijai un kapitālajam remontam</t>
  </si>
  <si>
    <t>19.07.2006.</t>
  </si>
  <si>
    <t>Kohēzijas fonda projekts "Ūdenssaimniecības attīstība Daugavpilī, II.k. Latvijā"</t>
  </si>
  <si>
    <t>18.08.2006.</t>
  </si>
  <si>
    <t>Kohēzijas fonda projekts "Sadzīves atkritumu apsaimniekošana Dienvidlatgales reģionā"</t>
  </si>
  <si>
    <t>21.05.2007.</t>
  </si>
  <si>
    <t>24.05.2007.</t>
  </si>
  <si>
    <t>03.03.2008.</t>
  </si>
  <si>
    <t>Ieguldījumam A/S "Daugavpils siltumtīkli" pamatkapitālā</t>
  </si>
  <si>
    <t>18.04.2008.</t>
  </si>
  <si>
    <t>Rīgas, Nometņu, 2.preču un Vidzemes ielu renovācijai un pilsētas ielu rekonstrukcijas projekta izstrādāšanai</t>
  </si>
  <si>
    <t>Daugavpils pilsētas pašvaldībai piederošo ēku rekonstrukcijai par pirmssk.izgl.iest. 18.novembra ielā 85, tehniskā projekta izstr. un būvniecības darbiem un 24.pirmssk. izgl. iest. rekonstrukcijai Muzeja ielā 9</t>
  </si>
  <si>
    <t>05.08.2009.</t>
  </si>
  <si>
    <t>15.12.2009.</t>
  </si>
  <si>
    <t>Latvijas  - Lietuvas pārrobežu sadarbības programmas projekta "Pārrobežu teritorijas atraktivitātes veicināšana, paaugstinot kultūras iestāžu vadības efektivitāti" īstenošanai</t>
  </si>
  <si>
    <t>KOPĀ</t>
  </si>
  <si>
    <t>x</t>
  </si>
  <si>
    <t xml:space="preserve">            Galvojumi</t>
  </si>
  <si>
    <t>Swedbanka</t>
  </si>
  <si>
    <t xml:space="preserve">S12 20 00 </t>
  </si>
  <si>
    <t>Apgrozāmo līdzekļu palielināšanai (parādu saistības A/S "Latvijas Gāze")</t>
  </si>
  <si>
    <t>19.11.2003.</t>
  </si>
  <si>
    <t>19.10.2005.</t>
  </si>
  <si>
    <t>25.05.2006.</t>
  </si>
  <si>
    <t>13.12.2006.</t>
  </si>
  <si>
    <t>Ziemeļu investīcijas banka</t>
  </si>
  <si>
    <t>08.05.1996.</t>
  </si>
  <si>
    <t>Starptautiskā rekonstrukcijas un attīstības banka</t>
  </si>
  <si>
    <t>26.05.1996.</t>
  </si>
  <si>
    <t>Bērnu spēļu laukuma labiekārtošanai un Dzelzceļnieka parka rekonstrukcijai</t>
  </si>
  <si>
    <t>05.07.2002.</t>
  </si>
  <si>
    <t>Studiju kredīts</t>
  </si>
  <si>
    <t>21.12.2006.</t>
  </si>
  <si>
    <t>Atpūtas nometnes "Dzintariņš" rekonstrukcijai</t>
  </si>
  <si>
    <t>27.06.2002.</t>
  </si>
  <si>
    <t>KOPĀ:</t>
  </si>
  <si>
    <t>Citas ilgtermiņa saistības</t>
  </si>
  <si>
    <t xml:space="preserve">Kopā saistības </t>
  </si>
  <si>
    <t>Saistību apjoms % no pamatbudžeta ieņēmumiem</t>
  </si>
  <si>
    <t>09.410</t>
  </si>
  <si>
    <t>18,8 un 18.690</t>
  </si>
  <si>
    <r>
      <t xml:space="preserve">Dome - </t>
    </r>
    <r>
      <rPr>
        <b/>
        <sz val="9"/>
        <rFont val="Times New Roman Baltic"/>
        <family val="1"/>
      </rPr>
      <t xml:space="preserve"> projekti </t>
    </r>
    <r>
      <rPr>
        <b/>
        <sz val="9"/>
        <color indexed="9"/>
        <rFont val="Times New Roman Baltic"/>
        <family val="1"/>
      </rPr>
      <t>(</t>
    </r>
    <r>
      <rPr>
        <sz val="9"/>
        <color indexed="9"/>
        <rFont val="Times New Roman Baltic"/>
        <family val="1"/>
      </rPr>
      <t>Darba praktizēšanas pasākumu nodrošināšana pašvaldībās)</t>
    </r>
  </si>
  <si>
    <t>Nomas maksa par teritorijām,,kas izmantojamas sabiedrības vajadzībam</t>
  </si>
  <si>
    <r>
      <t>Daugavpils pilsētas dome -</t>
    </r>
    <r>
      <rPr>
        <u val="single"/>
        <sz val="9"/>
        <rFont val="Times New Roman Baltic"/>
        <family val="1"/>
      </rPr>
      <t xml:space="preserve"> M.Rotko mākslas centra ēkas izveides tehniskā projekta aktualizācija</t>
    </r>
  </si>
  <si>
    <t>09.222</t>
  </si>
  <si>
    <t>03.600</t>
  </si>
  <si>
    <t>Dome</t>
  </si>
  <si>
    <t>10.400</t>
  </si>
  <si>
    <t>ES finansētā projekta "Ūdenstorņa ēkas paraugrestaurācija un apsaimniekošana Daugavpils Cietoksnī" īstenošanai</t>
  </si>
  <si>
    <t>ES Kohēzijas fonda projekta "Daugavpils autotransporta mezgls (Vidzemes, Piekrastes, A.Pumpura, Višķu iela) īstenošanai</t>
  </si>
  <si>
    <t>Daugavpils pilsētas pašvaldības 2011.gada kopbudžets</t>
  </si>
  <si>
    <t>Daugavpils pilsētas pašvaldības 2011.gada pamatbudžets</t>
  </si>
  <si>
    <r>
      <t xml:space="preserve">Daugavpils pilsētas pašvaldības 2011.gada pamatbudžeta izdevumu atšifrējums                                                                                       </t>
    </r>
    <r>
      <rPr>
        <i/>
        <sz val="10"/>
        <rFont val="Times New Roman Baltic"/>
        <family val="1"/>
      </rPr>
      <t>(norādot ieņēmumu avotus izdevumu segšanai)</t>
    </r>
  </si>
  <si>
    <r>
      <t>Pašvaldības parādu procentu nomaksa</t>
    </r>
    <r>
      <rPr>
        <b/>
        <i/>
        <u val="single"/>
        <sz val="9"/>
        <rFont val="Times New Roman Baltic"/>
        <family val="1"/>
      </rPr>
      <t xml:space="preserve"> </t>
    </r>
    <r>
      <rPr>
        <i/>
        <u val="single"/>
        <sz val="9"/>
        <rFont val="Times New Roman Baltic"/>
        <family val="1"/>
      </rPr>
      <t>(Sporta  pārvalde)</t>
    </r>
  </si>
  <si>
    <t>07.240</t>
  </si>
  <si>
    <t>SIA "Daugavpils bērnu veselības centrs"</t>
  </si>
  <si>
    <t>Latgales centrālā bibliotēka (projekti)</t>
  </si>
  <si>
    <t>Daugavpils pilsētas dome - reprezentācijas un marketings</t>
  </si>
  <si>
    <t>Slimnīcas atbalsta biedrība</t>
  </si>
  <si>
    <t xml:space="preserve">Interešu un profesionālās ievirzes izglītība </t>
  </si>
  <si>
    <t xml:space="preserve">Interešu un profesionālās ievirzes izglītība  </t>
  </si>
  <si>
    <t xml:space="preserve">Interešu un profesionālās ievirzes izglītības </t>
  </si>
  <si>
    <t>Interešu un profesionālās ievirzes izglītība (projekti)</t>
  </si>
  <si>
    <t>SIA "Hansa Līzings" Sociālo lietu pārvaldes autotransporta līzingi</t>
  </si>
  <si>
    <t xml:space="preserve">Sporta pasākumi </t>
  </si>
  <si>
    <t>Speciālā izglītības iestādes (Logopēdiskā internātpamatskola - attīstības centrs)</t>
  </si>
  <si>
    <t xml:space="preserve"> - Saņemtā dotācija no vispārējiem ieņēmumiem </t>
  </si>
  <si>
    <t xml:space="preserve"> - Naudas līdzekļi     (t.sk.Ls 3964 FN)</t>
  </si>
  <si>
    <t>ES finansētā projekta "Daugavpils pilsētas speciālo izglītības iestāžu infrastruktūras un aprīkojuma uzlabošana" īstenošanai</t>
  </si>
  <si>
    <t>B-ba Tekvondo Centrs "Jitea "</t>
  </si>
  <si>
    <t>B-ba Klubs "MUSAŠI "</t>
  </si>
  <si>
    <t>Individuālo olimpisko sporta veidu finansējums</t>
  </si>
  <si>
    <t>Pašvaldības stipendijas</t>
  </si>
  <si>
    <t>Iedzīvotāju ienākuma nodokļa iepriekšējā gada nesadalītais atlikums</t>
  </si>
  <si>
    <t>Pašvaldību budžetā saņemtā dotācija no pašvaldību finanšu izlīdzināšanas fonda par 2010.gadu</t>
  </si>
  <si>
    <t>Mērķdotācijas pašvaldībām - pašvaldību speciālajām pirmsskolas izglītības iestādēm,internātskolām un sanatorijas tipa internātskolām</t>
  </si>
  <si>
    <t>9.pielik.</t>
  </si>
  <si>
    <t>Mērķdotācijas pašvaldībām - pašvaldību izglītības iestādēs piecgadīgo un sešgadīgo bērnu apmācībā nodarbināto pedagogu darba samaksai un sociālās apdrošināšanas obligātajām iemaksām</t>
  </si>
  <si>
    <t>SIA "Daugavpils Dzīvokļu un komunālās saimniecības uzņēmums" pamatkapitāla palielināšanai</t>
  </si>
  <si>
    <t>2011.gada     .janvāra</t>
  </si>
  <si>
    <t>Kohēzijas fonda projekta "Ūdenssaimniecības attīstība Daugavpilī, 2.kārta" līdzfinansējuma nodrošināšanai</t>
  </si>
  <si>
    <t>Citadele banka</t>
  </si>
  <si>
    <t>Dzīvojamās mājas Šaurajā ielā 24, Daugavpilī renovācijai</t>
  </si>
  <si>
    <t xml:space="preserve">Ieguldījumam SIA "Daugavpils Olimpiskais centrs" pamatkapitālā </t>
  </si>
  <si>
    <t>Norvēģijas vadības divpusējā fin. instr. līdzfin. proj." VPP  attīstība Daugavpils cietoksnī"</t>
  </si>
  <si>
    <t xml:space="preserve">Ūdenstorņa ēkas paraugrestaurācija un apsaimniekošana D-pils cietoksnī </t>
  </si>
  <si>
    <t>24.05.2010.</t>
  </si>
  <si>
    <t>24.08.2010.</t>
  </si>
  <si>
    <t xml:space="preserve">Projekta "Daugavpils autotransporta mezgls (Vidzemes, Piekrastes, A.Pumpura, Višķu iela) īstenošanai                            </t>
  </si>
  <si>
    <t>27.07.2010.</t>
  </si>
  <si>
    <t>"Daugavpils pilsētas speciālo izglītības iestāžu infrastruktūras un aprīkojuma uzlabošana"</t>
  </si>
  <si>
    <t>22.10.2010.</t>
  </si>
  <si>
    <t>"Energoefektivitātes paaugstināšana D-pils pilsētas pirmsskolas izglītības iestāžu ēkās"</t>
  </si>
  <si>
    <t>12.11.2010.</t>
  </si>
  <si>
    <t>Studējošā kredīts</t>
  </si>
  <si>
    <t>Projekts "Sadzīves atkritumu apsaimniekošana Dienvidlatgales reģionā"</t>
  </si>
  <si>
    <t>Daugavpils ūdens un kanalizācijas komponentu realizācijai</t>
  </si>
  <si>
    <t xml:space="preserve">     Naudas līdzekļu atlikumi Domes norēķinu centrā</t>
  </si>
  <si>
    <t xml:space="preserve">     Naudas līdzekļu atlikumi Valsts kases norēķinu centrā</t>
  </si>
  <si>
    <t>SIA "Daugavpils Olimpiskais Centrs" pamatkapitāla palielināšanai</t>
  </si>
  <si>
    <t>PAS "Daugavpils siltumtīkli" pamatkapitāla palielināšanai</t>
  </si>
  <si>
    <t>"SWEDBANK"  -  a/s "Daugavpils siltumtīkli" pamatkapitāla palielināšana</t>
  </si>
  <si>
    <t xml:space="preserve"> A/s "Citadele" - Īstermiņa saistību pārkreditēšana</t>
  </si>
  <si>
    <t xml:space="preserve"> A/s "Citadele"  - atpūtas nometnes "Dzintariņš" rekonstrukcija</t>
  </si>
  <si>
    <t>6. pielikums</t>
  </si>
  <si>
    <t>I  Ieņēmumi - kopā</t>
  </si>
  <si>
    <t>Ieņēmumu sadalījums pa speciālā budžeta veidiem</t>
  </si>
  <si>
    <t>Pārējie speciālā budžeta īpašiem mērķiem iezīmētie līdzekļi</t>
  </si>
  <si>
    <t>Mērķdotācijas pašvaldībām pasažieru regulārajiem pārvadājumiem</t>
  </si>
  <si>
    <t>II  Izdevumi - kopā</t>
  </si>
  <si>
    <t>Izdevumu sadalījums pa speciālā budžeta veidiem</t>
  </si>
  <si>
    <t>II  Izdevumi atbilstoši funkcionālajām kategorijām</t>
  </si>
  <si>
    <t>Veselības aprūpe</t>
  </si>
  <si>
    <t>III Izdevumi atbilstoši speciālā budžeta veidiem t.sk.</t>
  </si>
  <si>
    <r>
      <t xml:space="preserve">"Latgales reģiona attīstības aģentūra" </t>
    </r>
    <r>
      <rPr>
        <i/>
        <sz val="9"/>
        <rFont val="Times New Roman Baltic"/>
        <family val="1"/>
      </rPr>
      <t>(dalības maksa tūrisma izstādēs )</t>
    </r>
  </si>
  <si>
    <t>Izdevumi-kopā:</t>
  </si>
  <si>
    <t>- Preces un pakalpojumi</t>
  </si>
  <si>
    <t>"Slimnīcas atbalsta biedrība"(biedru nauda)</t>
  </si>
  <si>
    <t>05.400</t>
  </si>
  <si>
    <r>
      <t xml:space="preserve">Daugavpils pilsētas domes Komunālās saimniecības nodaļa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</si>
  <si>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- Pamatkapitāla veidošana</t>
  </si>
  <si>
    <t>08.400</t>
  </si>
  <si>
    <t>Sv.mocekļu Borisa un Gļeba Daugavpils pareizticīgo baznīca</t>
  </si>
  <si>
    <t>- Subsīdijas un dotācijas</t>
  </si>
  <si>
    <r>
      <t>Sabiedrisko organizāciju atbalsta fonds</t>
    </r>
    <r>
      <rPr>
        <sz val="8"/>
        <rFont val="Times New Roman Baltic"/>
        <family val="1"/>
      </rPr>
      <t xml:space="preserve"> (</t>
    </r>
    <r>
      <rPr>
        <i/>
        <sz val="8"/>
        <rFont val="Times New Roman Baltic"/>
        <family val="1"/>
      </rPr>
      <t>apropriācijas sadalījumu nosaka Izglītības un kultūras jautājumu komiteja)</t>
    </r>
  </si>
  <si>
    <t>Latgales pētniecības biedrība "Latgola"</t>
  </si>
  <si>
    <r>
      <t>Pašvaldības stipendijas</t>
    </r>
    <r>
      <rPr>
        <sz val="8"/>
        <rFont val="Times New Roman Baltic"/>
        <family val="1"/>
      </rPr>
      <t xml:space="preserve"> </t>
    </r>
    <r>
      <rPr>
        <i/>
        <sz val="8"/>
        <rFont val="Times New Roman Baltic"/>
        <family val="1"/>
      </rPr>
      <t>(stipendijas piešķiramas, pamatojoties uz atsevišķiem Daugavpils pilsētas domes lēmumiem)</t>
    </r>
  </si>
  <si>
    <t>- Sociālie pabalsti</t>
  </si>
  <si>
    <t>10.920</t>
  </si>
  <si>
    <r>
      <t>Sabiedrisko organizāciju atbalsta fonds</t>
    </r>
    <r>
      <rPr>
        <sz val="8"/>
        <rFont val="Times New Roman Baltic"/>
        <family val="1"/>
      </rPr>
      <t xml:space="preserve"> (</t>
    </r>
    <r>
      <rPr>
        <i/>
        <sz val="8"/>
        <rFont val="Times New Roman Baltic"/>
        <family val="1"/>
      </rPr>
      <t>apropriācijas sadalījumu nosaka Sociālo jautājumu komiteja</t>
    </r>
    <r>
      <rPr>
        <sz val="8"/>
        <rFont val="Times New Roman Baltic"/>
        <family val="1"/>
      </rPr>
      <t>)</t>
    </r>
  </si>
  <si>
    <t>Mērķdotācija pašvaldību autoceļu (ielu) fondiem</t>
  </si>
  <si>
    <r>
      <t>Daugavpils pilsētas domes komunālās saimniecības nodaļa</t>
    </r>
    <r>
      <rPr>
        <u val="single"/>
        <sz val="10"/>
        <rFont val="Times New Roman Baltic"/>
        <family val="1"/>
      </rPr>
      <t xml:space="preserve"> </t>
    </r>
  </si>
  <si>
    <t>Mērķdotācija pašvaldībām pasažieru regulārajiem pārvadājumiem</t>
  </si>
  <si>
    <t>05.600</t>
  </si>
  <si>
    <t>IV Ieņēmumu pārsniegums (-) vai deficīts (+)        (I-II)</t>
  </si>
  <si>
    <t>V  Finansēšana</t>
  </si>
  <si>
    <t>F21010000</t>
  </si>
  <si>
    <t xml:space="preserve">        Budžeta līdzekļu atlikums gada sākumā</t>
  </si>
  <si>
    <t xml:space="preserve">        Budžeta līdzekļu atlikums pārskata perioda beigās</t>
  </si>
  <si>
    <t>F50010000</t>
  </si>
  <si>
    <t xml:space="preserve">        SIA "Bērnu veselības centrs"</t>
  </si>
  <si>
    <t>9. pielikums</t>
  </si>
  <si>
    <t>7. pielikums</t>
  </si>
  <si>
    <t>Domes 2006.gada ___.aprīļa</t>
  </si>
  <si>
    <t xml:space="preserve">saistošajiem noteikumiem Nr. ____ </t>
  </si>
  <si>
    <t>(protokols Nr.   .&amp;)</t>
  </si>
  <si>
    <t xml:space="preserve">Daugavpils pilsētas pašvaldības 2011.gada speciālā budžeta </t>
  </si>
  <si>
    <t>ziedojumi un dāvinājumi</t>
  </si>
  <si>
    <t>Saņemti ziedojumi un dāvinājumi - kopā</t>
  </si>
  <si>
    <t>Juridisko personu ziedojumi un dāvinājumi naudā</t>
  </si>
  <si>
    <t>Fizisko personu ziedojumi un dāvinājumi naudā</t>
  </si>
  <si>
    <t xml:space="preserve">II  Izdevumi atbilstoši funkcionālajām kategorijām </t>
  </si>
  <si>
    <t>Visparējie valdības dienesti</t>
  </si>
  <si>
    <t>Ziedojumu un dāvinājumu ieņēmumu un izdevumu atšifrējums</t>
  </si>
  <si>
    <t>Resursi izdevumu segšanai</t>
  </si>
  <si>
    <t>Izdevumi - kopā:</t>
  </si>
  <si>
    <t>- Atlīdzība</t>
  </si>
  <si>
    <t>- Procentu izdevumi</t>
  </si>
  <si>
    <t>Daugavpils Latgales centrālā bibliotēka</t>
  </si>
  <si>
    <t>III  Ieņēmumu pārsniegums (-) vai deficīts (+)      (I-II)</t>
  </si>
  <si>
    <t>IV  Finansēšana</t>
  </si>
  <si>
    <t>Mērķdotācijas pašvaldībām - pašvaldību pamata un vispārējās vidējās izglītības  iestāžu, pašvaldību speciālās izglītības iestāžu pedagogu darba samaksai un valsts sociālās apdrošināšanas obligātajām iemaksām</t>
  </si>
  <si>
    <r>
      <t xml:space="preserve">Daugavpils pilsētas ielu rekonstrukcija un kapitālais remonts (Jātnieku, Smilšu, Kandavas...) </t>
    </r>
    <r>
      <rPr>
        <i/>
        <sz val="8"/>
        <color indexed="9"/>
        <rFont val="Times New Roman Baltic"/>
        <family val="1"/>
      </rPr>
      <t>(EUR 17,05,2010)</t>
    </r>
  </si>
  <si>
    <r>
      <t xml:space="preserve">Pilsētas ielu rekonstrukcijai un kapitālajam remontam </t>
    </r>
    <r>
      <rPr>
        <i/>
        <sz val="8"/>
        <color indexed="9"/>
        <rFont val="Times New Roman Baltic"/>
        <family val="1"/>
      </rPr>
      <t>(LVL, 21,05,2007)</t>
    </r>
  </si>
  <si>
    <t>SIA "Hansa Līzings" - Latgales centrālās bibliotēkas autolīzings</t>
  </si>
  <si>
    <t>Izdevumi atbilstoši ekonomiskajām kategorijām - kopā :</t>
  </si>
  <si>
    <r>
      <t xml:space="preserve">Pašvaldības parādu procentu nomaksa </t>
    </r>
    <r>
      <rPr>
        <u val="single"/>
        <sz val="9"/>
        <color indexed="43"/>
        <rFont val="Times New Roman Baltic"/>
        <family val="0"/>
      </rPr>
      <t>Pašvaldības un IP procentu maksājumi</t>
    </r>
  </si>
  <si>
    <t>09.110</t>
  </si>
  <si>
    <t>ES finansētā projekta "Radošo industriju attīstība Latvijas - Lietuvas pārrobežu reģionā" īstenošanai</t>
  </si>
  <si>
    <t>B-ba "Daugavpils izpletņlēcēju sporta klubs"</t>
  </si>
  <si>
    <t>Domes priekšsēdētāja</t>
  </si>
  <si>
    <t>Ž.Kulakova</t>
  </si>
  <si>
    <t xml:space="preserve">     Domes priekšsēdētāja                                                                 </t>
  </si>
  <si>
    <t>Latgales zoodārzs - projekts</t>
  </si>
  <si>
    <t>Daugavpils pilsētas iestāde "Komunālās saimniecības pārvalde"</t>
  </si>
  <si>
    <t>Pārējā citur neklasificētā pašvaldību teritoriju un mājokļa apsaimniekošanas darbība -administrācija</t>
  </si>
  <si>
    <t>ES finansētā projekta "Normatīvo aktu prasībām neatbilstošās Daugavpils rajona Demenes pagasta izgāztuves "Demene" Nr.44508/830/PV rekultivācija" īstenošanai</t>
  </si>
  <si>
    <t>Kontrole</t>
  </si>
  <si>
    <t>Jauniešu vasaras nodarbināšanas pasākumi</t>
  </si>
  <si>
    <t>Pašvaldību budžetā saņemtie uzturēšanas izdevumu transferti no valsts budžeta</t>
  </si>
  <si>
    <t>Pašvaldību budžetā saņemtie kapitālo izdevumu transferti no valsts budžeta</t>
  </si>
  <si>
    <t>Dome- Cietokšņa kultūras un informācijas centrs</t>
  </si>
  <si>
    <t>Daugavpils  pilsētas  pašvaldības 2011.gada  pamatbudžeta  finansēšanas   atšifrējums</t>
  </si>
  <si>
    <r>
      <t xml:space="preserve">Daugavpils pilsētas pašvaldības 2011.gada speciālais budžets                                                                                                                                        </t>
    </r>
    <r>
      <rPr>
        <i/>
        <sz val="12"/>
        <rFont val="Times New Roman Baltic"/>
        <family val="1"/>
      </rPr>
      <t xml:space="preserve">(neieskaitot ziedojumus un dāvinājumus)                      </t>
    </r>
    <r>
      <rPr>
        <b/>
        <sz val="12"/>
        <rFont val="Times New Roman Baltic"/>
        <family val="1"/>
      </rPr>
      <t xml:space="preserve">                                            </t>
    </r>
  </si>
  <si>
    <r>
      <t xml:space="preserve">Daugavpils pilsētas pašvaldības iestāde "Komunālās saimniecības pārvalde"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</si>
  <si>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Daugavpils svētā Nikolaja pareizticīgo draudze</t>
  </si>
  <si>
    <t>Latvijas Vecticībnieku Pomoras baznīca</t>
  </si>
  <si>
    <t xml:space="preserve">Rezerves fonds Baznīcu atbalstam  </t>
  </si>
  <si>
    <t xml:space="preserve">Daugavpils pilsētas pašvaldības iestāde "Komunālās saimniecības pārvalde" </t>
  </si>
  <si>
    <t>08.510</t>
  </si>
  <si>
    <r>
      <t xml:space="preserve">Daugavpils pilsētas dome </t>
    </r>
    <r>
      <rPr>
        <b/>
        <i/>
        <sz val="9"/>
        <rFont val="Times New Roman Baltic"/>
        <family val="1"/>
      </rPr>
      <t>(mērķziedojumi</t>
    </r>
    <r>
      <rPr>
        <b/>
        <u val="single"/>
        <sz val="9"/>
        <rFont val="Times New Roman Baltic"/>
        <family val="1"/>
      </rPr>
      <t>)</t>
    </r>
  </si>
  <si>
    <t xml:space="preserve">            Domes priekšsēdētāja</t>
  </si>
  <si>
    <r>
      <t xml:space="preserve">Dome  - projekti     </t>
    </r>
    <r>
      <rPr>
        <b/>
        <u val="single"/>
        <sz val="9"/>
        <color indexed="9"/>
        <rFont val="Times New Roman Baltic"/>
        <family val="1"/>
      </rPr>
      <t xml:space="preserve">  (KSP administrētie)</t>
    </r>
  </si>
  <si>
    <r>
      <t xml:space="preserve">Dome - projekti </t>
    </r>
    <r>
      <rPr>
        <b/>
        <u val="single"/>
        <sz val="9"/>
        <color indexed="15"/>
        <rFont val="Times New Roman Baltic"/>
        <family val="1"/>
      </rPr>
      <t xml:space="preserve">      </t>
    </r>
    <r>
      <rPr>
        <b/>
        <u val="single"/>
        <sz val="9"/>
        <color indexed="9"/>
        <rFont val="Times New Roman Baltic"/>
        <family val="1"/>
      </rPr>
      <t>(KSP administrētie)</t>
    </r>
  </si>
  <si>
    <r>
      <t xml:space="preserve">Dome - projekti  </t>
    </r>
    <r>
      <rPr>
        <b/>
        <u val="single"/>
        <sz val="9"/>
        <color indexed="9"/>
        <rFont val="Times New Roman Baltic"/>
        <family val="1"/>
      </rPr>
      <t xml:space="preserve">   (vēl nav apstiprināts finansējums)</t>
    </r>
  </si>
  <si>
    <r>
      <t xml:space="preserve">Dome - projekti    </t>
    </r>
    <r>
      <rPr>
        <b/>
        <u val="single"/>
        <sz val="9"/>
        <color indexed="15"/>
        <rFont val="Times New Roman Baltic"/>
        <family val="1"/>
      </rPr>
      <t xml:space="preserve"> </t>
    </r>
    <r>
      <rPr>
        <b/>
        <u val="single"/>
        <sz val="9"/>
        <color indexed="9"/>
        <rFont val="Times New Roman Baltic"/>
        <family val="1"/>
      </rPr>
      <t>(projektam nav apstiprināts finansējums)</t>
    </r>
  </si>
  <si>
    <r>
      <t xml:space="preserve">Dome- projekti </t>
    </r>
    <r>
      <rPr>
        <b/>
        <u val="single"/>
        <sz val="9"/>
        <color indexed="9"/>
        <rFont val="Times New Roman Baltic"/>
        <family val="1"/>
      </rPr>
      <t xml:space="preserve">           (Rotko centra projekti)</t>
    </r>
  </si>
  <si>
    <r>
      <t>Dome - pašvaldības īpašumu uzturēšana</t>
    </r>
    <r>
      <rPr>
        <b/>
        <u val="single"/>
        <sz val="9"/>
        <color indexed="9"/>
        <rFont val="Times New Roman Baltic"/>
        <family val="1"/>
      </rPr>
      <t xml:space="preserve"> - Vienības nama apdrošināšana un remonts</t>
    </r>
  </si>
  <si>
    <t>ERAF projekta "Daugavpils vēsturiskā centra  dominantes  - Vienības nama atjaunošana "</t>
  </si>
  <si>
    <t xml:space="preserve">"Kvalitatīvai dabaszinātņu apguvei atbilstošas materiālās bāzes nodrošināšana D-pils pilsētas vidusskolās" </t>
  </si>
  <si>
    <t xml:space="preserve">"Radošo industriju attīstība Latvijas - Lietuvas pārrobežu reģionā" </t>
  </si>
  <si>
    <t>05.04.2011.</t>
  </si>
  <si>
    <t>"Normatīvo aktu prasībām neatbilstošās D-pils rajona Demenes pagasta izgāztuves "Demene" Nr. 44508/830/PV rekultivācija"</t>
  </si>
  <si>
    <t>27.05.2011.</t>
  </si>
  <si>
    <t>Pašvaldības īpašumu uzturēšana un nekustamo īpašumu iegāde pašvaldības vajadzībām</t>
  </si>
  <si>
    <t>"Sadzīves atkritumu apsaimniekošana Dienvidlatgales reģionā" īstenošanai</t>
  </si>
  <si>
    <r>
      <t xml:space="preserve">"Ūdenssaimniecības attīstība Daugavpilī,2.kārta" īstenošanai 2006.gadā  </t>
    </r>
    <r>
      <rPr>
        <i/>
        <sz val="8"/>
        <color indexed="9"/>
        <rFont val="Times New Roman Baltic"/>
        <family val="1"/>
      </rPr>
      <t>(EUR)</t>
    </r>
  </si>
  <si>
    <t>"Pārrobežu teritorijas atraktivitātes veicināšana, paaugstinot kultūras iestāžu vadības efektivitāti" īstenošanai</t>
  </si>
  <si>
    <t>Daugavpils sociālās dzīvojamas mājas Šaurā ielā 28 siltumnoturības uzlabošanas pasākumi" īstenošanai</t>
  </si>
  <si>
    <t>"Kvalitatīvai dabaszinātņu apguvei atbilstošas materiālās bāzes nodrošināšana Daugavpils pilsētas skolās" īstenošanai</t>
  </si>
  <si>
    <t>"Energoefektivitātes paaugstināšana Daugavpils pilsētas pirmsskolas izglītības iestāžu ēkās" īstenošanai</t>
  </si>
  <si>
    <t>"Dzīvojamās mājas Šaurā ielā 24, Daugavpilī, renovācijai" īstenošanai</t>
  </si>
  <si>
    <r>
      <t xml:space="preserve">"Ūdenssaimniecības attīstība Daugavpilī,2.kārta" īstenošanai 2009.gadā </t>
    </r>
    <r>
      <rPr>
        <i/>
        <sz val="8"/>
        <color indexed="9"/>
        <rFont val="Times New Roman Baltic"/>
        <family val="1"/>
      </rPr>
      <t>(EUR)</t>
    </r>
  </si>
  <si>
    <r>
      <t xml:space="preserve">"Ūdenssaimniecības attīstība Daugavpilī,2.kārta" īstenošanai 2008.gadā  </t>
    </r>
    <r>
      <rPr>
        <i/>
        <sz val="8"/>
        <color indexed="9"/>
        <rFont val="Times New Roman Baltic"/>
        <family val="1"/>
      </rPr>
      <t>(EUR)</t>
    </r>
  </si>
  <si>
    <r>
      <t>"Pirmsskolas izglītības iestāžu rekonstrukcija" īstenošanai</t>
    </r>
    <r>
      <rPr>
        <i/>
        <sz val="8"/>
        <color indexed="9"/>
        <rFont val="Times New Roman Baltic"/>
        <family val="1"/>
      </rPr>
      <t xml:space="preserve"> (2008.g.) (EUR 19,11,2009)</t>
    </r>
  </si>
  <si>
    <r>
      <t>"Pirmsskolas izglītības iestāžu infrastruktūras attīstība Daugavpilī " īstenošanai</t>
    </r>
    <r>
      <rPr>
        <i/>
        <sz val="8"/>
        <color indexed="9"/>
        <rFont val="Times New Roman Baltic"/>
        <family val="1"/>
      </rPr>
      <t xml:space="preserve"> (11,11,2009.g.)</t>
    </r>
  </si>
  <si>
    <t>"Daugavpils vēsturiskā centra dominantes - Vienības nama atjaunošana" īstenošanai</t>
  </si>
  <si>
    <t>"Kreatīvā tūrisma attīstība, izveidojot Māla mākslas centrus Daugavpilī un Utenā" īstenošanai</t>
  </si>
  <si>
    <t>"Daugavpils pilsētas speciālo izglītības iestāžu infrastruktūras un aprīkojuma uzlabošana" īstenošanai</t>
  </si>
  <si>
    <t xml:space="preserve">*Dotācijas sporta klubiem   Ls  </t>
  </si>
  <si>
    <t>Biedru maksa b-bā "Daugavpils pilsētas hokeja klubs"</t>
  </si>
  <si>
    <t>Eiroreģions "Ezeru zeme"</t>
  </si>
  <si>
    <t>Daugavpils pilsētas dome - Jaunatnes departaments</t>
  </si>
  <si>
    <r>
      <t xml:space="preserve">Daugavpils pilsētas dome </t>
    </r>
    <r>
      <rPr>
        <i/>
        <sz val="9"/>
        <rFont val="Times New Roman Baltic"/>
        <family val="1"/>
      </rPr>
      <t>(pārvalde un vadība)</t>
    </r>
  </si>
  <si>
    <r>
      <t xml:space="preserve">Daugavpils pilsētas dome  </t>
    </r>
    <r>
      <rPr>
        <i/>
        <sz val="9"/>
        <rFont val="Times New Roman Baltic"/>
        <family val="1"/>
      </rPr>
      <t>(darbs ar jaunatni)</t>
    </r>
  </si>
  <si>
    <r>
      <t xml:space="preserve">Daugavpils pilsētas dome  </t>
    </r>
    <r>
      <rPr>
        <i/>
        <sz val="9"/>
        <rFont val="Times New Roman Baltic"/>
        <family val="1"/>
      </rPr>
      <t>(vasaras atpūtas nometnes)</t>
    </r>
  </si>
  <si>
    <t xml:space="preserve"> 2011.gada plāns   /Ls/</t>
  </si>
  <si>
    <t>Precizētais 2011.gada plāns  /Ls/</t>
  </si>
  <si>
    <t xml:space="preserve"> 2011.gada plāns  /Ls/</t>
  </si>
  <si>
    <t>2011.gada plāns                    /Ls/</t>
  </si>
  <si>
    <t>Apstiprināts  2011.gada plāns             /Ls/</t>
  </si>
  <si>
    <t>ES finansētā projekta "Daugavpils pilsētas satiksmes infrastruktūras rekonstrukcija" īstenošanai</t>
  </si>
  <si>
    <t>ES finansētā projekta "Daugavpils pašvaldības izglītības iestāžu infrastruktūras attīstība - energoefektivitātes pasākumi un teritorijas labiekārtošana ilgtspējīgai pilsētvides attīstībai" īstenošanai</t>
  </si>
  <si>
    <t>09.120</t>
  </si>
  <si>
    <t>mācību grām.</t>
  </si>
  <si>
    <t>Pašvaldības teritoriju un mājokļu apsaimniekošana un kapitālais remonts</t>
  </si>
  <si>
    <t>19 lpp</t>
  </si>
  <si>
    <t>"Daugavpils pašvaldības izglītības iestāžu infrastruktūras attīstība - energoefektivitātes pasākumi un teritorijas labiekārtošana ilgtspējīgai pilsētvides attīstībai"</t>
  </si>
  <si>
    <t>"Daugavpils pilsētas satiksmes infrastruktūras rekonstrukcija"</t>
  </si>
  <si>
    <t>Pašvaldības  īpašuma attīstība Daugavpils Cietoksnī</t>
  </si>
  <si>
    <r>
      <t xml:space="preserve">Daugavpils pilsētas dome  </t>
    </r>
    <r>
      <rPr>
        <i/>
        <sz val="9"/>
        <rFont val="Times New Roman Baltic"/>
        <family val="1"/>
      </rPr>
      <t>(projekti)</t>
    </r>
  </si>
  <si>
    <r>
      <t xml:space="preserve"> - Budžeta iestāžu ieņēmumi </t>
    </r>
    <r>
      <rPr>
        <sz val="8"/>
        <color indexed="15"/>
        <rFont val="Times New Roman Baltic"/>
        <family val="1"/>
      </rPr>
      <t>(maksas pakalpojumi)</t>
    </r>
  </si>
  <si>
    <t>Pirmsskolas izglītības iestādes (mācību materiālu iegāde)</t>
  </si>
  <si>
    <t>"VPP attīstība Daugavpils cietoksnī" īstenošanai</t>
  </si>
  <si>
    <t>"Ūdenstorņa ēkas paraugrestaurācija un apsaimniekošana Daugavpils cietoksnī" īstenošanai</t>
  </si>
  <si>
    <t>SIA "Daugavpils Dzīvokļu un komunālās saimniecības uzņēmums"</t>
  </si>
  <si>
    <t>4768 jau noņemts no VB</t>
  </si>
  <si>
    <t>Kods/ Uzskaites konts</t>
  </si>
  <si>
    <t>05.08.2011.</t>
  </si>
  <si>
    <t>08.09.2011.</t>
  </si>
  <si>
    <t>Zembilance</t>
  </si>
  <si>
    <t>S22 20 00</t>
  </si>
  <si>
    <t>( pamatbudžeta ieņēmumi Ls 50 783 824 - mērķdotācijas Ls 19 994 400)</t>
  </si>
  <si>
    <t xml:space="preserve">2011. gada plāns /Ls/ </t>
  </si>
  <si>
    <t>Precizētais 2011.gada plāns /Ls/</t>
  </si>
  <si>
    <t xml:space="preserve">2011. gada plāns             /Ls/ </t>
  </si>
  <si>
    <t>2011. gada plāns /Ls/</t>
  </si>
  <si>
    <t>Domes 2011.gada 28.oktobra</t>
  </si>
  <si>
    <t xml:space="preserve">saistošajiem noteikumiem Nr.31 </t>
  </si>
  <si>
    <t>(protokols Nr.23      11.§)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</si>
</sst>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#,##0.0"/>
    <numFmt numFmtId="182" formatCode="#,##0.00\ &quot;Ls&quot;"/>
    <numFmt numFmtId="183" formatCode="0.0000"/>
    <numFmt numFmtId="184" formatCode="_-* #,##0.000\ &quot;Ls&quot;_-;\-* #,##0.000\ &quot;Ls&quot;_-;_-* &quot;-&quot;???\ &quot;Ls&quot;_-;_-@_-"/>
    <numFmt numFmtId="185" formatCode="#,##0.000"/>
    <numFmt numFmtId="186" formatCode="#,##0\ _L_s"/>
    <numFmt numFmtId="187" formatCode="#,##0.00\ _L_s"/>
  </numFmts>
  <fonts count="78">
    <font>
      <sz val="10"/>
      <name val="Arial"/>
      <family val="0"/>
    </font>
    <font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b/>
      <u val="single"/>
      <sz val="9"/>
      <name val="Times New Roman Baltic"/>
      <family val="1"/>
    </font>
    <font>
      <b/>
      <u val="single"/>
      <sz val="8"/>
      <name val="Times New Roman Baltic"/>
      <family val="1"/>
    </font>
    <font>
      <i/>
      <sz val="8"/>
      <name val="Times New Roman Baltic"/>
      <family val="1"/>
    </font>
    <font>
      <sz val="7"/>
      <name val="Times New Roman Baltic"/>
      <family val="1"/>
    </font>
    <font>
      <sz val="9"/>
      <name val="Arial"/>
      <family val="0"/>
    </font>
    <font>
      <u val="single"/>
      <sz val="9"/>
      <name val="Times New Roman Baltic"/>
      <family val="1"/>
    </font>
    <font>
      <i/>
      <sz val="9"/>
      <name val="Times New Roman Baltic"/>
      <family val="1"/>
    </font>
    <font>
      <b/>
      <i/>
      <sz val="8"/>
      <name val="Times New Roman Baltic"/>
      <family val="1"/>
    </font>
    <font>
      <b/>
      <sz val="11"/>
      <name val="Times New Roman Baltic"/>
      <family val="1"/>
    </font>
    <font>
      <u val="single"/>
      <sz val="8"/>
      <name val="Times New Roman Baltic"/>
      <family val="1"/>
    </font>
    <font>
      <sz val="12"/>
      <name val="Times New Roman Baltic"/>
      <family val="1"/>
    </font>
    <font>
      <b/>
      <sz val="7"/>
      <name val="Times New Roman Baltic"/>
      <family val="1"/>
    </font>
    <font>
      <i/>
      <u val="single"/>
      <sz val="9"/>
      <name val="Times New Roman Baltic"/>
      <family val="1"/>
    </font>
    <font>
      <b/>
      <i/>
      <u val="single"/>
      <sz val="9"/>
      <name val="Times New Roman Baltic"/>
      <family val="1"/>
    </font>
    <font>
      <b/>
      <i/>
      <sz val="10"/>
      <name val="Times New Roman Baltic"/>
      <family val="1"/>
    </font>
    <font>
      <sz val="8"/>
      <color indexed="8"/>
      <name val="Times New Roman Baltic"/>
      <family val="1"/>
    </font>
    <font>
      <sz val="10"/>
      <color indexed="43"/>
      <name val="Times New Roman Baltic"/>
      <family val="1"/>
    </font>
    <font>
      <sz val="10"/>
      <color indexed="9"/>
      <name val="Times New Roman Baltic"/>
      <family val="1"/>
    </font>
    <font>
      <sz val="7"/>
      <color indexed="9"/>
      <name val="Times New Roman Baltic"/>
      <family val="1"/>
    </font>
    <font>
      <b/>
      <sz val="7"/>
      <color indexed="9"/>
      <name val="Times New Roman Baltic"/>
      <family val="1"/>
    </font>
    <font>
      <sz val="9"/>
      <color indexed="8"/>
      <name val="Times New Roman Baltic"/>
      <family val="1"/>
    </font>
    <font>
      <sz val="9"/>
      <color indexed="10"/>
      <name val="Times New Roman Baltic"/>
      <family val="1"/>
    </font>
    <font>
      <b/>
      <i/>
      <u val="single"/>
      <sz val="8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Times New Roman Baltic"/>
      <family val="1"/>
    </font>
    <font>
      <sz val="9"/>
      <color indexed="9"/>
      <name val="Times New Roman Baltic"/>
      <family val="1"/>
    </font>
    <font>
      <i/>
      <sz val="9"/>
      <color indexed="9"/>
      <name val="Times New Roman Baltic"/>
      <family val="1"/>
    </font>
    <font>
      <sz val="11"/>
      <name val="Times New Roman Baltic"/>
      <family val="1"/>
    </font>
    <font>
      <sz val="11"/>
      <color indexed="9"/>
      <name val="Times New Roman Baltic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9"/>
      <name val="Times New Roman Baltic"/>
      <family val="1"/>
    </font>
    <font>
      <b/>
      <sz val="8"/>
      <color indexed="10"/>
      <name val="Times New Roman Baltic"/>
      <family val="1"/>
    </font>
    <font>
      <b/>
      <sz val="8"/>
      <color indexed="12"/>
      <name val="Times New Roman Baltic"/>
      <family val="1"/>
    </font>
    <font>
      <b/>
      <sz val="9"/>
      <color indexed="10"/>
      <name val="Times New Roman Baltic"/>
      <family val="1"/>
    </font>
    <font>
      <b/>
      <sz val="8"/>
      <color indexed="57"/>
      <name val="Times New Roman Baltic"/>
      <family val="1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Times New Roman Baltic"/>
      <family val="1"/>
    </font>
    <font>
      <sz val="8"/>
      <color indexed="9"/>
      <name val="Times New Roman Baltic"/>
      <family val="1"/>
    </font>
    <font>
      <u val="single"/>
      <sz val="9"/>
      <color indexed="43"/>
      <name val="Times New Roman Baltic"/>
      <family val="0"/>
    </font>
    <font>
      <i/>
      <sz val="12"/>
      <name val="Times New Roman Baltic"/>
      <family val="1"/>
    </font>
    <font>
      <u val="single"/>
      <sz val="10"/>
      <name val="Times New Roman Baltic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i/>
      <sz val="8"/>
      <color indexed="9"/>
      <name val="Times New Roman Baltic"/>
      <family val="1"/>
    </font>
    <font>
      <b/>
      <sz val="8"/>
      <color indexed="9"/>
      <name val="Times New Roman Baltic"/>
      <family val="1"/>
    </font>
    <font>
      <sz val="10"/>
      <color indexed="10"/>
      <name val="Times New Roman Baltic"/>
      <family val="1"/>
    </font>
    <font>
      <b/>
      <u val="single"/>
      <sz val="9"/>
      <color indexed="15"/>
      <name val="Times New Roman Baltic"/>
      <family val="1"/>
    </font>
    <font>
      <b/>
      <sz val="10"/>
      <color indexed="17"/>
      <name val="Times New Roman Baltic"/>
      <family val="1"/>
    </font>
    <font>
      <sz val="10"/>
      <color indexed="17"/>
      <name val="Times New Roman Baltic"/>
      <family val="1"/>
    </font>
    <font>
      <b/>
      <sz val="8"/>
      <color indexed="17"/>
      <name val="Times New Roman Baltic"/>
      <family val="1"/>
    </font>
    <font>
      <b/>
      <u val="single"/>
      <sz val="9"/>
      <color indexed="9"/>
      <name val="Times New Roman Baltic"/>
      <family val="1"/>
    </font>
    <font>
      <b/>
      <sz val="10"/>
      <name val="Arial"/>
      <family val="0"/>
    </font>
    <font>
      <b/>
      <i/>
      <sz val="8"/>
      <color indexed="10"/>
      <name val="Times New Roman Baltic"/>
      <family val="1"/>
    </font>
    <font>
      <sz val="8"/>
      <color indexed="15"/>
      <name val="Times New Roman Baltic"/>
      <family val="1"/>
    </font>
    <font>
      <b/>
      <sz val="12"/>
      <color indexed="10"/>
      <name val="Times New Roman Baltic"/>
      <family val="1"/>
    </font>
    <font>
      <b/>
      <sz val="10"/>
      <color indexed="10"/>
      <name val="Arial"/>
      <family val="0"/>
    </font>
    <font>
      <sz val="8"/>
      <color indexed="14"/>
      <name val="Times New Roman Baltic"/>
      <family val="1"/>
    </font>
    <font>
      <b/>
      <i/>
      <sz val="8"/>
      <color indexed="9"/>
      <name val="Times New Roman Baltic"/>
      <family val="1"/>
    </font>
    <font>
      <b/>
      <u val="single"/>
      <sz val="8"/>
      <color indexed="9"/>
      <name val="Times New Roman Balti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9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5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 wrapText="1"/>
    </xf>
    <xf numFmtId="0" fontId="10" fillId="0" borderId="0" xfId="0" applyFont="1" applyFill="1" applyBorder="1" applyAlignment="1" quotePrefix="1">
      <alignment horizontal="right" vertical="center" wrapText="1"/>
    </xf>
    <xf numFmtId="180" fontId="9" fillId="0" borderId="0" xfId="0" applyNumberFormat="1" applyFont="1" applyFill="1" applyBorder="1" applyAlignment="1" quotePrefix="1">
      <alignment horizontal="right" vertical="center"/>
    </xf>
    <xf numFmtId="180" fontId="10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2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185" fontId="30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left"/>
    </xf>
    <xf numFmtId="0" fontId="34" fillId="0" borderId="0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0" fontId="34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34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" xfId="0" applyFont="1" applyBorder="1" applyAlignment="1">
      <alignment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 vertical="center" wrapText="1"/>
    </xf>
    <xf numFmtId="186" fontId="40" fillId="3" borderId="1" xfId="0" applyNumberFormat="1" applyFont="1" applyFill="1" applyBorder="1" applyAlignment="1">
      <alignment horizontal="center"/>
    </xf>
    <xf numFmtId="186" fontId="41" fillId="3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 quotePrefix="1">
      <alignment horizontal="center"/>
    </xf>
    <xf numFmtId="182" fontId="40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86" fontId="41" fillId="0" borderId="0" xfId="0" applyNumberFormat="1" applyFont="1" applyBorder="1" applyAlignment="1">
      <alignment horizontal="center"/>
    </xf>
    <xf numFmtId="0" fontId="40" fillId="3" borderId="1" xfId="0" applyFont="1" applyFill="1" applyBorder="1" applyAlignment="1">
      <alignment horizontal="center" wrapText="1"/>
    </xf>
    <xf numFmtId="0" fontId="40" fillId="3" borderId="1" xfId="0" applyFont="1" applyFill="1" applyBorder="1" applyAlignment="1">
      <alignment horizontal="center" vertical="center" wrapText="1" shrinkToFit="1"/>
    </xf>
    <xf numFmtId="186" fontId="41" fillId="0" borderId="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86" fontId="41" fillId="3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86" fontId="41" fillId="3" borderId="2" xfId="0" applyNumberFormat="1" applyFont="1" applyFill="1" applyBorder="1" applyAlignment="1">
      <alignment horizontal="center"/>
    </xf>
    <xf numFmtId="186" fontId="40" fillId="0" borderId="1" xfId="0" applyNumberFormat="1" applyFont="1" applyBorder="1" applyAlignment="1">
      <alignment horizontal="center"/>
    </xf>
    <xf numFmtId="186" fontId="41" fillId="0" borderId="2" xfId="0" applyNumberFormat="1" applyFont="1" applyBorder="1" applyAlignment="1">
      <alignment horizontal="center"/>
    </xf>
    <xf numFmtId="0" fontId="41" fillId="0" borderId="1" xfId="0" applyFont="1" applyBorder="1" applyAlignment="1">
      <alignment/>
    </xf>
    <xf numFmtId="186" fontId="41" fillId="0" borderId="1" xfId="0" applyNumberFormat="1" applyFont="1" applyBorder="1" applyAlignment="1">
      <alignment/>
    </xf>
    <xf numFmtId="0" fontId="42" fillId="0" borderId="0" xfId="0" applyFont="1" applyAlignment="1">
      <alignment/>
    </xf>
    <xf numFmtId="187" fontId="4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180" fontId="7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5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 indent="1"/>
    </xf>
    <xf numFmtId="0" fontId="10" fillId="0" borderId="0" xfId="0" applyFont="1" applyAlignment="1" quotePrefix="1">
      <alignment horizontal="right"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 quotePrefix="1">
      <alignment/>
    </xf>
    <xf numFmtId="0" fontId="1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39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/>
    </xf>
    <xf numFmtId="0" fontId="39" fillId="0" borderId="1" xfId="0" applyFont="1" applyBorder="1" applyAlignment="1">
      <alignment horizontal="center" vertical="center" wrapText="1" shrinkToFit="1"/>
    </xf>
    <xf numFmtId="3" fontId="39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40" fillId="0" borderId="0" xfId="0" applyFont="1" applyAlignment="1" quotePrefix="1">
      <alignment horizontal="right"/>
    </xf>
    <xf numFmtId="0" fontId="59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" fontId="41" fillId="0" borderId="0" xfId="0" applyNumberFormat="1" applyFont="1" applyAlignment="1">
      <alignment horizontal="right"/>
    </xf>
    <xf numFmtId="0" fontId="40" fillId="0" borderId="0" xfId="0" applyFont="1" applyFill="1" applyBorder="1" applyAlignment="1">
      <alignment horizontal="left" wrapText="1" indent="1"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42" fillId="0" borderId="0" xfId="0" applyFont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Alignment="1">
      <alignment/>
    </xf>
    <xf numFmtId="3" fontId="8" fillId="4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5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6" xfId="0" applyBorder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80" fontId="9" fillId="3" borderId="0" xfId="0" applyNumberFormat="1" applyFont="1" applyFill="1" applyBorder="1" applyAlignment="1" quotePrefix="1">
      <alignment horizontal="right" vertical="center"/>
    </xf>
    <xf numFmtId="0" fontId="40" fillId="0" borderId="0" xfId="0" applyFont="1" applyAlignment="1" quotePrefix="1">
      <alignment horizontal="left" indent="1"/>
    </xf>
    <xf numFmtId="0" fontId="40" fillId="0" borderId="0" xfId="0" applyFont="1" applyAlignment="1">
      <alignment horizontal="left" inden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3" fontId="68" fillId="0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0" fontId="39" fillId="0" borderId="1" xfId="0" applyFont="1" applyBorder="1" applyAlignment="1">
      <alignment horizontal="center" vertical="center"/>
    </xf>
    <xf numFmtId="0" fontId="40" fillId="0" borderId="0" xfId="0" applyFont="1" applyBorder="1" applyAlignment="1" quotePrefix="1">
      <alignment horizontal="center"/>
    </xf>
    <xf numFmtId="0" fontId="40" fillId="0" borderId="0" xfId="0" applyFont="1" applyBorder="1" applyAlignment="1">
      <alignment horizontal="center" vertical="center" wrapText="1"/>
    </xf>
    <xf numFmtId="186" fontId="40" fillId="0" borderId="0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40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75" fillId="0" borderId="0" xfId="0" applyFont="1" applyBorder="1" applyAlignment="1">
      <alignment horizontal="left" vertical="center"/>
    </xf>
    <xf numFmtId="3" fontId="45" fillId="0" borderId="0" xfId="0" applyNumberFormat="1" applyFont="1" applyFill="1" applyAlignment="1">
      <alignment horizontal="left"/>
    </xf>
    <xf numFmtId="3" fontId="45" fillId="0" borderId="0" xfId="0" applyNumberFormat="1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left" vertical="center" wrapText="1"/>
    </xf>
    <xf numFmtId="3" fontId="45" fillId="0" borderId="0" xfId="0" applyNumberFormat="1" applyFont="1" applyFill="1" applyBorder="1" applyAlignment="1">
      <alignment horizontal="left" wrapText="1"/>
    </xf>
    <xf numFmtId="3" fontId="71" fillId="0" borderId="0" xfId="0" applyNumberFormat="1" applyFont="1" applyFill="1" applyBorder="1" applyAlignment="1">
      <alignment horizontal="left"/>
    </xf>
    <xf numFmtId="3" fontId="71" fillId="0" borderId="0" xfId="0" applyNumberFormat="1" applyFont="1" applyFill="1" applyAlignment="1">
      <alignment horizontal="left"/>
    </xf>
    <xf numFmtId="0" fontId="39" fillId="0" borderId="1" xfId="0" applyFont="1" applyBorder="1" applyAlignment="1">
      <alignment horizontal="center"/>
    </xf>
    <xf numFmtId="2" fontId="39" fillId="0" borderId="1" xfId="0" applyNumberFormat="1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53" fillId="0" borderId="0" xfId="0" applyFont="1" applyFill="1" applyBorder="1" applyAlignment="1">
      <alignment vertical="center"/>
    </xf>
    <xf numFmtId="180" fontId="53" fillId="0" borderId="0" xfId="0" applyNumberFormat="1" applyFont="1" applyFill="1" applyBorder="1" applyAlignment="1">
      <alignment vertical="center"/>
    </xf>
    <xf numFmtId="185" fontId="53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textRotation="90"/>
    </xf>
    <xf numFmtId="3" fontId="63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4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indent="1"/>
    </xf>
    <xf numFmtId="3" fontId="37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73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 wrapText="1" inden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Alignment="1" quotePrefix="1">
      <alignment horizontal="left" indent="1"/>
    </xf>
    <xf numFmtId="0" fontId="40" fillId="0" borderId="0" xfId="0" applyFont="1" applyAlignment="1">
      <alignment horizontal="left" indent="1"/>
    </xf>
    <xf numFmtId="0" fontId="57" fillId="0" borderId="0" xfId="0" applyFont="1" applyBorder="1" applyAlignment="1">
      <alignment horizontal="center"/>
    </xf>
    <xf numFmtId="0" fontId="39" fillId="0" borderId="7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4"/>
  <sheetViews>
    <sheetView zoomScale="120" zoomScaleNormal="120" workbookViewId="0" topLeftCell="A1">
      <selection activeCell="H2" sqref="H2:I4"/>
    </sheetView>
  </sheetViews>
  <sheetFormatPr defaultColWidth="9.140625" defaultRowHeight="12.75"/>
  <cols>
    <col min="1" max="1" width="0.5625" style="1" customWidth="1"/>
    <col min="2" max="2" width="4.8515625" style="1" customWidth="1"/>
    <col min="3" max="3" width="4.140625" style="1" customWidth="1"/>
    <col min="4" max="4" width="8.57421875" style="1" customWidth="1"/>
    <col min="5" max="5" width="8.00390625" style="1" customWidth="1"/>
    <col min="6" max="6" width="8.57421875" style="1" customWidth="1"/>
    <col min="7" max="7" width="23.8515625" style="1" customWidth="1"/>
    <col min="8" max="10" width="10.57421875" style="50" customWidth="1"/>
    <col min="11" max="12" width="9.8515625" style="1" customWidth="1"/>
    <col min="13" max="16384" width="9.140625" style="1" customWidth="1"/>
  </cols>
  <sheetData>
    <row r="1" spans="8:10" s="12" customFormat="1" ht="11.25">
      <c r="H1" s="2" t="s">
        <v>138</v>
      </c>
      <c r="I1" s="14"/>
      <c r="J1" s="14"/>
    </row>
    <row r="2" spans="3:10" s="12" customFormat="1" ht="12.75" customHeight="1">
      <c r="C2" s="10"/>
      <c r="H2" s="3" t="s">
        <v>606</v>
      </c>
      <c r="I2" s="14"/>
      <c r="J2" s="14"/>
    </row>
    <row r="3" spans="8:10" s="12" customFormat="1" ht="11.25">
      <c r="H3" s="3" t="s">
        <v>607</v>
      </c>
      <c r="I3" s="14"/>
      <c r="J3" s="14"/>
    </row>
    <row r="4" spans="2:10" s="12" customFormat="1" ht="11.25">
      <c r="B4" s="10"/>
      <c r="H4" s="3" t="s">
        <v>608</v>
      </c>
      <c r="I4" s="14"/>
      <c r="J4" s="14"/>
    </row>
    <row r="5" spans="2:10" s="12" customFormat="1" ht="11.25">
      <c r="B5" s="10"/>
      <c r="H5" s="11"/>
      <c r="I5" s="14"/>
      <c r="J5" s="14"/>
    </row>
    <row r="6" spans="2:10" s="44" customFormat="1" ht="15.75">
      <c r="B6" s="457" t="s">
        <v>399</v>
      </c>
      <c r="C6" s="457"/>
      <c r="D6" s="457"/>
      <c r="E6" s="457"/>
      <c r="F6" s="457"/>
      <c r="G6" s="457"/>
      <c r="H6" s="457"/>
      <c r="I6" s="63"/>
      <c r="J6" s="63"/>
    </row>
    <row r="7" spans="2:10" s="12" customFormat="1" ht="13.5" customHeight="1">
      <c r="B7" s="10"/>
      <c r="H7" s="11"/>
      <c r="I7" s="14"/>
      <c r="J7" s="14"/>
    </row>
    <row r="8" spans="2:10" s="46" customFormat="1" ht="55.5" customHeight="1">
      <c r="B8" s="458" t="s">
        <v>35</v>
      </c>
      <c r="C8" s="459"/>
      <c r="D8" s="459"/>
      <c r="E8" s="459"/>
      <c r="F8" s="459"/>
      <c r="G8" s="460"/>
      <c r="H8" s="42" t="s">
        <v>577</v>
      </c>
      <c r="I8" s="364" t="s">
        <v>186</v>
      </c>
      <c r="J8" s="42" t="s">
        <v>576</v>
      </c>
    </row>
    <row r="9" ht="12.75">
      <c r="H9" s="273"/>
    </row>
    <row r="10" spans="2:10" s="30" customFormat="1" ht="12.75">
      <c r="B10" s="47" t="s">
        <v>139</v>
      </c>
      <c r="C10" s="461" t="s">
        <v>30</v>
      </c>
      <c r="D10" s="461"/>
      <c r="E10" s="461"/>
      <c r="F10" s="461"/>
      <c r="G10" s="461"/>
      <c r="H10" s="274">
        <f>H12+H19+H27</f>
        <v>51951741</v>
      </c>
      <c r="I10" s="43">
        <f>I12+I19+I27</f>
        <v>2895704</v>
      </c>
      <c r="J10" s="43">
        <f>J12+J19+J27</f>
        <v>54847445</v>
      </c>
    </row>
    <row r="11" ht="12.75">
      <c r="H11" s="273"/>
    </row>
    <row r="12" spans="2:10" s="8" customFormat="1" ht="12">
      <c r="B12" s="48" t="s">
        <v>140</v>
      </c>
      <c r="C12" s="462" t="s">
        <v>141</v>
      </c>
      <c r="D12" s="462"/>
      <c r="E12" s="462"/>
      <c r="F12" s="462"/>
      <c r="G12" s="462"/>
      <c r="H12" s="275">
        <f>H14+H15+H16+H17</f>
        <v>50783824</v>
      </c>
      <c r="I12" s="9">
        <f>I14+I15+I16+I17</f>
        <v>2885169</v>
      </c>
      <c r="J12" s="9">
        <f>J14+J15+J16+J17</f>
        <v>53668993</v>
      </c>
    </row>
    <row r="13" spans="8:10" s="12" customFormat="1" ht="11.25">
      <c r="H13" s="276"/>
      <c r="I13" s="14"/>
      <c r="J13" s="14"/>
    </row>
    <row r="14" spans="3:10" s="4" customFormat="1" ht="14.25" customHeight="1">
      <c r="C14" s="463" t="s">
        <v>142</v>
      </c>
      <c r="D14" s="463"/>
      <c r="E14" s="463"/>
      <c r="F14" s="463"/>
      <c r="G14" s="463"/>
      <c r="H14" s="277">
        <f>21269743+300000+78269</f>
        <v>21648012</v>
      </c>
      <c r="I14" s="74">
        <f>1256190+960+5000</f>
        <v>1262150</v>
      </c>
      <c r="J14" s="74">
        <f>SUM(H14:I14)</f>
        <v>22910162</v>
      </c>
    </row>
    <row r="15" spans="3:10" s="4" customFormat="1" ht="14.25" customHeight="1">
      <c r="C15" s="463" t="s">
        <v>143</v>
      </c>
      <c r="D15" s="463"/>
      <c r="E15" s="463"/>
      <c r="F15" s="463"/>
      <c r="G15" s="463"/>
      <c r="H15" s="277">
        <f>347800+130075+773</f>
        <v>478648</v>
      </c>
      <c r="I15" s="74"/>
      <c r="J15" s="74">
        <f>SUM(H15:I15)</f>
        <v>478648</v>
      </c>
    </row>
    <row r="16" spans="3:10" s="4" customFormat="1" ht="14.25" customHeight="1">
      <c r="C16" s="463" t="s">
        <v>144</v>
      </c>
      <c r="D16" s="463"/>
      <c r="E16" s="463"/>
      <c r="F16" s="463"/>
      <c r="G16" s="463"/>
      <c r="H16" s="277">
        <f>24188641+259114+1555608</f>
        <v>26003363</v>
      </c>
      <c r="I16" s="74">
        <f>1603617</f>
        <v>1603617</v>
      </c>
      <c r="J16" s="74">
        <f>SUM(H16:I16)</f>
        <v>27606980</v>
      </c>
    </row>
    <row r="17" spans="3:10" s="4" customFormat="1" ht="14.25" customHeight="1">
      <c r="C17" s="463" t="s">
        <v>145</v>
      </c>
      <c r="D17" s="463"/>
      <c r="E17" s="463"/>
      <c r="F17" s="463"/>
      <c r="G17" s="463"/>
      <c r="H17" s="277">
        <f>2419818+228553+5430</f>
        <v>2653801</v>
      </c>
      <c r="I17" s="74">
        <f>19402</f>
        <v>19402</v>
      </c>
      <c r="J17" s="74">
        <f>SUM(H17:I17)</f>
        <v>2673203</v>
      </c>
    </row>
    <row r="18" spans="3:10" s="4" customFormat="1" ht="14.25" customHeight="1">
      <c r="C18" s="21"/>
      <c r="D18" s="21"/>
      <c r="E18" s="21"/>
      <c r="F18" s="21"/>
      <c r="G18" s="21"/>
      <c r="H18" s="277"/>
      <c r="I18" s="74"/>
      <c r="J18" s="74"/>
    </row>
    <row r="19" spans="2:10" s="19" customFormat="1" ht="33" customHeight="1">
      <c r="B19" s="49" t="s">
        <v>146</v>
      </c>
      <c r="C19" s="464" t="s">
        <v>147</v>
      </c>
      <c r="D19" s="464"/>
      <c r="E19" s="464"/>
      <c r="F19" s="464"/>
      <c r="G19" s="464"/>
      <c r="H19" s="73">
        <f>H20+H21+H22+H24+H25+H23</f>
        <v>1153134</v>
      </c>
      <c r="I19" s="24">
        <f>I20+I21+I22+I24+I25+I23</f>
        <v>8266</v>
      </c>
      <c r="J19" s="24">
        <f>J20+J21+J22+J24+J25+J23</f>
        <v>1161400</v>
      </c>
    </row>
    <row r="20" spans="3:10" s="4" customFormat="1" ht="15" customHeight="1" hidden="1">
      <c r="C20" s="463" t="s">
        <v>127</v>
      </c>
      <c r="D20" s="463"/>
      <c r="E20" s="463"/>
      <c r="F20" s="463"/>
      <c r="G20" s="463"/>
      <c r="H20" s="277"/>
      <c r="I20" s="74"/>
      <c r="J20" s="74">
        <f aca="true" t="shared" si="0" ref="J20:J25">SUM(H20:I20)</f>
        <v>0</v>
      </c>
    </row>
    <row r="21" spans="3:10" s="4" customFormat="1" ht="15" customHeight="1">
      <c r="C21" s="463" t="s">
        <v>128</v>
      </c>
      <c r="D21" s="463"/>
      <c r="E21" s="463"/>
      <c r="F21" s="463"/>
      <c r="G21" s="463"/>
      <c r="H21" s="277">
        <v>40000</v>
      </c>
      <c r="I21" s="74"/>
      <c r="J21" s="74">
        <f t="shared" si="0"/>
        <v>40000</v>
      </c>
    </row>
    <row r="22" spans="3:10" s="4" customFormat="1" ht="15" customHeight="1">
      <c r="C22" s="463" t="s">
        <v>129</v>
      </c>
      <c r="D22" s="463"/>
      <c r="E22" s="463"/>
      <c r="F22" s="463"/>
      <c r="G22" s="463"/>
      <c r="H22" s="277">
        <f>712016+118872</f>
        <v>830888</v>
      </c>
      <c r="I22" s="74"/>
      <c r="J22" s="74">
        <f t="shared" si="0"/>
        <v>830888</v>
      </c>
    </row>
    <row r="23" spans="3:10" s="4" customFormat="1" ht="15" customHeight="1">
      <c r="C23" s="463" t="s">
        <v>148</v>
      </c>
      <c r="D23" s="463"/>
      <c r="E23" s="463"/>
      <c r="F23" s="463"/>
      <c r="G23" s="463"/>
      <c r="H23" s="277">
        <v>273400</v>
      </c>
      <c r="I23" s="74">
        <f>6066</f>
        <v>6066</v>
      </c>
      <c r="J23" s="74">
        <f t="shared" si="0"/>
        <v>279466</v>
      </c>
    </row>
    <row r="24" spans="3:10" s="12" customFormat="1" ht="15" customHeight="1" hidden="1">
      <c r="C24" s="465" t="s">
        <v>224</v>
      </c>
      <c r="D24" s="465"/>
      <c r="E24" s="465"/>
      <c r="F24" s="465"/>
      <c r="G24" s="465"/>
      <c r="H24" s="276"/>
      <c r="I24" s="14"/>
      <c r="J24" s="74">
        <f t="shared" si="0"/>
        <v>0</v>
      </c>
    </row>
    <row r="25" spans="3:10" s="12" customFormat="1" ht="15" customHeight="1">
      <c r="C25" s="465" t="s">
        <v>456</v>
      </c>
      <c r="D25" s="465"/>
      <c r="E25" s="465"/>
      <c r="F25" s="465"/>
      <c r="G25" s="465"/>
      <c r="H25" s="277">
        <v>8846</v>
      </c>
      <c r="I25" s="14">
        <f>2200</f>
        <v>2200</v>
      </c>
      <c r="J25" s="74">
        <f t="shared" si="0"/>
        <v>11046</v>
      </c>
    </row>
    <row r="26" spans="3:10" s="12" customFormat="1" ht="14.25" customHeight="1">
      <c r="C26" s="83"/>
      <c r="D26" s="83"/>
      <c r="E26" s="83"/>
      <c r="F26" s="83"/>
      <c r="G26" s="83"/>
      <c r="H26" s="276"/>
      <c r="I26" s="14"/>
      <c r="J26" s="74"/>
    </row>
    <row r="27" spans="2:10" s="8" customFormat="1" ht="14.25" customHeight="1">
      <c r="B27" s="48" t="s">
        <v>149</v>
      </c>
      <c r="C27" s="462" t="s">
        <v>137</v>
      </c>
      <c r="D27" s="462"/>
      <c r="E27" s="462"/>
      <c r="F27" s="462"/>
      <c r="G27" s="462"/>
      <c r="H27" s="275">
        <f>3391+6466+4926</f>
        <v>14783</v>
      </c>
      <c r="I27" s="72">
        <f>2269</f>
        <v>2269</v>
      </c>
      <c r="J27" s="72">
        <f>H27+I27</f>
        <v>17052</v>
      </c>
    </row>
    <row r="28" spans="8:10" s="4" customFormat="1" ht="14.25" customHeight="1">
      <c r="H28" s="277"/>
      <c r="I28" s="74"/>
      <c r="J28" s="74"/>
    </row>
    <row r="29" spans="2:10" s="30" customFormat="1" ht="14.25" customHeight="1">
      <c r="B29" s="47" t="s">
        <v>150</v>
      </c>
      <c r="C29" s="461" t="s">
        <v>231</v>
      </c>
      <c r="D29" s="461"/>
      <c r="E29" s="461"/>
      <c r="F29" s="461"/>
      <c r="G29" s="461"/>
      <c r="H29" s="274">
        <f>H31+H33+H35+H37</f>
        <v>65567982</v>
      </c>
      <c r="I29" s="43">
        <f>I31+I33+I35+I37</f>
        <v>2495558</v>
      </c>
      <c r="J29" s="43">
        <f>J31+J33+J35+J37</f>
        <v>68063540</v>
      </c>
    </row>
    <row r="30" ht="12.75">
      <c r="H30" s="273"/>
    </row>
    <row r="31" spans="2:10" s="8" customFormat="1" ht="12">
      <c r="B31" s="48" t="s">
        <v>151</v>
      </c>
      <c r="C31" s="462" t="s">
        <v>152</v>
      </c>
      <c r="D31" s="462"/>
      <c r="E31" s="462"/>
      <c r="F31" s="462"/>
      <c r="G31" s="462"/>
      <c r="H31" s="275">
        <f>59907226+1186181+3256730</f>
        <v>64350137</v>
      </c>
      <c r="I31" s="72">
        <f>2479063+960+5000</f>
        <v>2485023</v>
      </c>
      <c r="J31" s="72">
        <f>H31+I31</f>
        <v>66835160</v>
      </c>
    </row>
    <row r="32" ht="12.75">
      <c r="H32" s="273"/>
    </row>
    <row r="33" spans="2:10" s="19" customFormat="1" ht="27.75" customHeight="1">
      <c r="B33" s="49" t="s">
        <v>153</v>
      </c>
      <c r="C33" s="464" t="s">
        <v>154</v>
      </c>
      <c r="D33" s="464"/>
      <c r="E33" s="464"/>
      <c r="F33" s="464"/>
      <c r="G33" s="464"/>
      <c r="H33" s="73">
        <f>1079865+118872</f>
        <v>1198737</v>
      </c>
      <c r="I33" s="73">
        <f>8266</f>
        <v>8266</v>
      </c>
      <c r="J33" s="73">
        <f>H33+I33</f>
        <v>1207003</v>
      </c>
    </row>
    <row r="34" ht="15" customHeight="1">
      <c r="H34" s="273"/>
    </row>
    <row r="35" spans="2:10" s="8" customFormat="1" ht="15" customHeight="1">
      <c r="B35" s="48" t="s">
        <v>155</v>
      </c>
      <c r="C35" s="462" t="s">
        <v>156</v>
      </c>
      <c r="D35" s="462"/>
      <c r="E35" s="462"/>
      <c r="F35" s="462"/>
      <c r="G35" s="462"/>
      <c r="H35" s="275">
        <f>7716+6466+4926</f>
        <v>19108</v>
      </c>
      <c r="I35" s="72">
        <f>2269</f>
        <v>2269</v>
      </c>
      <c r="J35" s="72">
        <f>H35+I35</f>
        <v>21377</v>
      </c>
    </row>
    <row r="36" spans="2:10" s="8" customFormat="1" ht="15" customHeight="1">
      <c r="B36" s="48"/>
      <c r="H36" s="275"/>
      <c r="I36" s="72"/>
      <c r="J36" s="72"/>
    </row>
    <row r="37" spans="2:10" s="8" customFormat="1" ht="0.75" customHeight="1" hidden="1">
      <c r="B37" s="48" t="s">
        <v>157</v>
      </c>
      <c r="C37" s="466" t="s">
        <v>158</v>
      </c>
      <c r="D37" s="466"/>
      <c r="E37" s="466"/>
      <c r="F37" s="466"/>
      <c r="G37" s="466"/>
      <c r="H37" s="275">
        <v>0</v>
      </c>
      <c r="I37" s="72"/>
      <c r="J37" s="72"/>
    </row>
    <row r="38" ht="15" customHeight="1" hidden="1">
      <c r="H38" s="273"/>
    </row>
    <row r="39" spans="2:11" s="30" customFormat="1" ht="18.75" customHeight="1">
      <c r="B39" s="47" t="s">
        <v>157</v>
      </c>
      <c r="C39" s="461" t="s">
        <v>159</v>
      </c>
      <c r="D39" s="461"/>
      <c r="E39" s="461"/>
      <c r="F39" s="461"/>
      <c r="G39" s="461"/>
      <c r="H39" s="274">
        <f>H10-H29</f>
        <v>-13616241</v>
      </c>
      <c r="I39" s="43">
        <f>I10-I29</f>
        <v>400146</v>
      </c>
      <c r="J39" s="43">
        <f>J10-J29</f>
        <v>-13216095</v>
      </c>
      <c r="K39" s="87"/>
    </row>
    <row r="40" ht="12.75">
      <c r="H40" s="273"/>
    </row>
    <row r="41" spans="2:10" s="30" customFormat="1" ht="19.5" customHeight="1">
      <c r="B41" s="47" t="s">
        <v>22</v>
      </c>
      <c r="C41" s="461" t="s">
        <v>160</v>
      </c>
      <c r="D41" s="461"/>
      <c r="E41" s="461"/>
      <c r="F41" s="461"/>
      <c r="G41" s="461"/>
      <c r="H41" s="274">
        <f>H42+H45+H48</f>
        <v>13616241</v>
      </c>
      <c r="I41" s="43">
        <f>I42+I45+I48</f>
        <v>-400146</v>
      </c>
      <c r="J41" s="43">
        <f>J42+J45+J48</f>
        <v>13216095</v>
      </c>
    </row>
    <row r="42" spans="3:10" s="4" customFormat="1" ht="14.25" customHeight="1">
      <c r="C42" s="463" t="s">
        <v>133</v>
      </c>
      <c r="D42" s="463"/>
      <c r="E42" s="463"/>
      <c r="F42" s="463"/>
      <c r="G42" s="463"/>
      <c r="H42" s="277">
        <f>H43-H44</f>
        <v>14188079</v>
      </c>
      <c r="I42" s="22">
        <f>I43-I44</f>
        <v>0</v>
      </c>
      <c r="J42" s="22">
        <f>J43-J44</f>
        <v>14188079</v>
      </c>
    </row>
    <row r="43" spans="4:10" s="28" customFormat="1" ht="12.75" customHeight="1">
      <c r="D43" s="467" t="s">
        <v>134</v>
      </c>
      <c r="E43" s="467"/>
      <c r="F43" s="467"/>
      <c r="G43" s="467"/>
      <c r="H43" s="278">
        <f>14138151+45603+4325</f>
        <v>14188079</v>
      </c>
      <c r="I43" s="41"/>
      <c r="J43" s="41">
        <f>H43+I43</f>
        <v>14188079</v>
      </c>
    </row>
    <row r="44" spans="4:10" s="28" customFormat="1" ht="12.75" customHeight="1">
      <c r="D44" s="467" t="s">
        <v>135</v>
      </c>
      <c r="E44" s="467"/>
      <c r="F44" s="467"/>
      <c r="G44" s="467"/>
      <c r="H44" s="278"/>
      <c r="I44" s="41"/>
      <c r="J44" s="41"/>
    </row>
    <row r="45" spans="2:10" s="4" customFormat="1" ht="13.5" customHeight="1">
      <c r="B45" s="68"/>
      <c r="C45" s="463" t="s">
        <v>193</v>
      </c>
      <c r="D45" s="463"/>
      <c r="E45" s="463"/>
      <c r="F45" s="463"/>
      <c r="G45" s="463"/>
      <c r="H45" s="277">
        <f>H46+H47</f>
        <v>-407577</v>
      </c>
      <c r="I45" s="22">
        <f>I46+I47</f>
        <v>-250146</v>
      </c>
      <c r="J45" s="22">
        <f>J46+J47</f>
        <v>-657723</v>
      </c>
    </row>
    <row r="46" spans="2:10" s="28" customFormat="1" ht="10.5" customHeight="1">
      <c r="B46" s="69"/>
      <c r="C46" s="27"/>
      <c r="D46" s="467" t="s">
        <v>194</v>
      </c>
      <c r="E46" s="467"/>
      <c r="F46" s="467"/>
      <c r="G46" s="467"/>
      <c r="H46" s="278">
        <f>1046394+643075+1616650</f>
        <v>3306119</v>
      </c>
      <c r="I46" s="41"/>
      <c r="J46" s="41">
        <f>H46+I46</f>
        <v>3306119</v>
      </c>
    </row>
    <row r="47" spans="2:10" s="28" customFormat="1" ht="10.5" customHeight="1">
      <c r="B47" s="69"/>
      <c r="C47" s="27"/>
      <c r="D47" s="467" t="s">
        <v>195</v>
      </c>
      <c r="E47" s="467"/>
      <c r="F47" s="467"/>
      <c r="G47" s="467"/>
      <c r="H47" s="278">
        <f>-3339060-374636</f>
        <v>-3713696</v>
      </c>
      <c r="I47" s="41">
        <v>-250146</v>
      </c>
      <c r="J47" s="41">
        <f>H47+I47</f>
        <v>-3963842</v>
      </c>
    </row>
    <row r="48" spans="2:10" s="4" customFormat="1" ht="15" customHeight="1">
      <c r="B48" s="68"/>
      <c r="C48" s="463" t="s">
        <v>197</v>
      </c>
      <c r="D48" s="463"/>
      <c r="E48" s="463"/>
      <c r="F48" s="463"/>
      <c r="G48" s="463"/>
      <c r="H48" s="277">
        <f>-164261</f>
        <v>-164261</v>
      </c>
      <c r="I48" s="74">
        <v>-150000</v>
      </c>
      <c r="J48" s="41">
        <f>H48+I48</f>
        <v>-314261</v>
      </c>
    </row>
    <row r="49" spans="2:10" s="30" customFormat="1" ht="10.5" customHeight="1">
      <c r="B49" s="47"/>
      <c r="C49" s="67"/>
      <c r="D49" s="67"/>
      <c r="E49" s="67"/>
      <c r="F49" s="67"/>
      <c r="G49" s="67"/>
      <c r="H49" s="43"/>
      <c r="I49" s="40"/>
      <c r="J49" s="40"/>
    </row>
    <row r="50" spans="2:10" s="30" customFormat="1" ht="10.5" customHeight="1">
      <c r="B50" s="47"/>
      <c r="C50" s="67"/>
      <c r="D50" s="67"/>
      <c r="E50" s="67"/>
      <c r="F50" s="67"/>
      <c r="G50" s="67"/>
      <c r="H50" s="43"/>
      <c r="I50" s="40"/>
      <c r="J50" s="40"/>
    </row>
    <row r="51" spans="2:10" s="30" customFormat="1" ht="10.5" customHeight="1">
      <c r="B51" s="47"/>
      <c r="C51" s="67"/>
      <c r="D51" s="67"/>
      <c r="E51" s="67"/>
      <c r="F51" s="67"/>
      <c r="G51" s="67"/>
      <c r="H51" s="43"/>
      <c r="I51" s="40"/>
      <c r="J51" s="40"/>
    </row>
    <row r="52" spans="2:10" s="30" customFormat="1" ht="10.5" customHeight="1">
      <c r="B52" s="47"/>
      <c r="C52" s="67"/>
      <c r="D52" s="67"/>
      <c r="E52" s="67"/>
      <c r="F52" s="67"/>
      <c r="G52" s="67"/>
      <c r="H52" s="43"/>
      <c r="I52" s="40"/>
      <c r="J52" s="40"/>
    </row>
    <row r="53" spans="8:10" s="12" customFormat="1" ht="11.25">
      <c r="H53" s="11"/>
      <c r="I53" s="14"/>
      <c r="J53" s="14"/>
    </row>
    <row r="54" spans="2:10" ht="12.75">
      <c r="B54" s="1" t="s">
        <v>519</v>
      </c>
      <c r="H54" s="468" t="s">
        <v>520</v>
      </c>
      <c r="I54" s="469"/>
      <c r="J54" s="469"/>
    </row>
  </sheetData>
  <mergeCells count="31">
    <mergeCell ref="H54:J54"/>
    <mergeCell ref="C48:G48"/>
    <mergeCell ref="D44:G44"/>
    <mergeCell ref="C45:G45"/>
    <mergeCell ref="D46:G46"/>
    <mergeCell ref="D47:G47"/>
    <mergeCell ref="C39:G39"/>
    <mergeCell ref="C41:G41"/>
    <mergeCell ref="C42:G42"/>
    <mergeCell ref="D43:G43"/>
    <mergeCell ref="C31:G31"/>
    <mergeCell ref="C33:G33"/>
    <mergeCell ref="C35:G35"/>
    <mergeCell ref="C37:G37"/>
    <mergeCell ref="C23:G23"/>
    <mergeCell ref="C24:G24"/>
    <mergeCell ref="C27:G27"/>
    <mergeCell ref="C29:G29"/>
    <mergeCell ref="C25:G25"/>
    <mergeCell ref="C19:G19"/>
    <mergeCell ref="C20:G20"/>
    <mergeCell ref="C21:G21"/>
    <mergeCell ref="C22:G22"/>
    <mergeCell ref="C14:G14"/>
    <mergeCell ref="C15:G15"/>
    <mergeCell ref="C16:G16"/>
    <mergeCell ref="C17:G17"/>
    <mergeCell ref="B6:H6"/>
    <mergeCell ref="B8:G8"/>
    <mergeCell ref="C10:G10"/>
    <mergeCell ref="C12:G12"/>
  </mergeCells>
  <printOptions/>
  <pageMargins left="0.59" right="0.42" top="0.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120" zoomScaleNormal="120" workbookViewId="0" topLeftCell="A1">
      <selection activeCell="C10" sqref="C10:G10"/>
    </sheetView>
  </sheetViews>
  <sheetFormatPr defaultColWidth="9.140625" defaultRowHeight="12.75"/>
  <cols>
    <col min="1" max="1" width="0.42578125" style="12" customWidth="1"/>
    <col min="2" max="2" width="9.7109375" style="10" customWidth="1"/>
    <col min="3" max="3" width="3.8515625" style="12" customWidth="1"/>
    <col min="4" max="6" width="9.140625" style="12" customWidth="1"/>
    <col min="7" max="7" width="23.8515625" style="12" customWidth="1"/>
    <col min="8" max="8" width="13.28125" style="11" customWidth="1"/>
    <col min="9" max="9" width="14.00390625" style="14" customWidth="1"/>
    <col min="10" max="10" width="13.7109375" style="12" customWidth="1"/>
    <col min="11" max="11" width="8.7109375" style="393" customWidth="1"/>
    <col min="12" max="12" width="34.57421875" style="120" customWidth="1"/>
    <col min="13" max="13" width="34.57421875" style="12" customWidth="1"/>
    <col min="14" max="16384" width="9.140625" style="12" customWidth="1"/>
  </cols>
  <sheetData>
    <row r="1" ht="11.25">
      <c r="H1" s="2" t="s">
        <v>161</v>
      </c>
    </row>
    <row r="2" spans="3:8" ht="12.75" customHeight="1">
      <c r="C2" s="10"/>
      <c r="H2" s="3" t="s">
        <v>606</v>
      </c>
    </row>
    <row r="3" ht="11.25">
      <c r="H3" s="3" t="s">
        <v>607</v>
      </c>
    </row>
    <row r="4" ht="11.25">
      <c r="H4" s="3" t="s">
        <v>608</v>
      </c>
    </row>
    <row r="5" ht="11.25" customHeight="1">
      <c r="H5" s="3"/>
    </row>
    <row r="6" spans="2:12" s="44" customFormat="1" ht="15" customHeight="1">
      <c r="B6" s="457" t="s">
        <v>400</v>
      </c>
      <c r="C6" s="457"/>
      <c r="D6" s="457"/>
      <c r="E6" s="457"/>
      <c r="F6" s="457"/>
      <c r="G6" s="457"/>
      <c r="H6" s="457"/>
      <c r="I6" s="484"/>
      <c r="J6" s="442"/>
      <c r="K6" s="393"/>
      <c r="L6" s="120"/>
    </row>
    <row r="7" spans="2:12" s="44" customFormat="1" ht="7.5" customHeight="1">
      <c r="B7" s="45"/>
      <c r="C7" s="45"/>
      <c r="D7" s="45"/>
      <c r="E7" s="45"/>
      <c r="F7" s="45"/>
      <c r="G7" s="45"/>
      <c r="H7" s="480"/>
      <c r="I7" s="481"/>
      <c r="J7" s="481"/>
      <c r="K7" s="393"/>
      <c r="L7" s="120"/>
    </row>
    <row r="8" spans="2:12" s="75" customFormat="1" ht="30" customHeight="1">
      <c r="B8" s="76" t="s">
        <v>34</v>
      </c>
      <c r="C8" s="482" t="s">
        <v>35</v>
      </c>
      <c r="D8" s="482"/>
      <c r="E8" s="482"/>
      <c r="F8" s="482"/>
      <c r="G8" s="482"/>
      <c r="H8" s="65" t="s">
        <v>575</v>
      </c>
      <c r="I8" s="124" t="s">
        <v>186</v>
      </c>
      <c r="J8" s="64" t="s">
        <v>576</v>
      </c>
      <c r="K8" s="394" t="s">
        <v>595</v>
      </c>
      <c r="L8" s="121"/>
    </row>
    <row r="9" spans="2:12" s="46" customFormat="1" ht="12.75" customHeight="1">
      <c r="B9" s="59"/>
      <c r="C9" s="483" t="s">
        <v>199</v>
      </c>
      <c r="D9" s="483"/>
      <c r="E9" s="483"/>
      <c r="F9" s="483"/>
      <c r="G9" s="483"/>
      <c r="H9" s="111">
        <f>H10+H25+H40</f>
        <v>50783824</v>
      </c>
      <c r="I9" s="111">
        <f>I10+I25+I40</f>
        <v>2885169</v>
      </c>
      <c r="J9" s="111">
        <f>J10+J25+J40</f>
        <v>53668993</v>
      </c>
      <c r="K9" s="394">
        <f>K13+K54</f>
        <v>1256190</v>
      </c>
      <c r="L9" s="121"/>
    </row>
    <row r="10" spans="2:12" s="18" customFormat="1" ht="11.25" customHeight="1">
      <c r="B10" s="51"/>
      <c r="C10" s="443" t="s">
        <v>200</v>
      </c>
      <c r="D10" s="443"/>
      <c r="E10" s="443"/>
      <c r="F10" s="443"/>
      <c r="G10" s="443"/>
      <c r="H10" s="104">
        <f>H11+H19</f>
        <v>22126660</v>
      </c>
      <c r="I10" s="104">
        <f>I11+I19</f>
        <v>1262150</v>
      </c>
      <c r="J10" s="104">
        <f>J11+J19</f>
        <v>23388810</v>
      </c>
      <c r="K10" s="395"/>
      <c r="L10" s="122"/>
    </row>
    <row r="11" spans="2:12" s="18" customFormat="1" ht="12" customHeight="1">
      <c r="B11" s="247"/>
      <c r="C11" s="474" t="s">
        <v>188</v>
      </c>
      <c r="D11" s="474"/>
      <c r="E11" s="474"/>
      <c r="F11" s="474"/>
      <c r="G11" s="474"/>
      <c r="H11" s="104">
        <f>H12+H15+H18</f>
        <v>21648012</v>
      </c>
      <c r="I11" s="104">
        <f>I12+I15+I18</f>
        <v>1262150</v>
      </c>
      <c r="J11" s="104">
        <f>J12+J15+J18</f>
        <v>22910162</v>
      </c>
      <c r="K11" s="395"/>
      <c r="L11" s="122">
        <f>-88225+22054+165000+115000+1450615</f>
        <v>1664444</v>
      </c>
    </row>
    <row r="12" spans="2:12" s="53" customFormat="1" ht="12" customHeight="1">
      <c r="B12" s="20" t="s">
        <v>162</v>
      </c>
      <c r="C12" s="471" t="s">
        <v>252</v>
      </c>
      <c r="D12" s="471"/>
      <c r="E12" s="471"/>
      <c r="F12" s="471"/>
      <c r="G12" s="471"/>
      <c r="H12" s="129">
        <f>H13+H14</f>
        <v>19824257</v>
      </c>
      <c r="I12" s="129">
        <f>I13+I14</f>
        <v>1262150</v>
      </c>
      <c r="J12" s="129">
        <f>J13+J14</f>
        <v>21086407</v>
      </c>
      <c r="K12" s="395"/>
      <c r="L12" s="187"/>
    </row>
    <row r="13" spans="2:12" s="53" customFormat="1" ht="12" customHeight="1">
      <c r="B13" s="20"/>
      <c r="C13" s="471" t="s">
        <v>252</v>
      </c>
      <c r="D13" s="471"/>
      <c r="E13" s="471"/>
      <c r="F13" s="471"/>
      <c r="G13" s="471"/>
      <c r="H13" s="129">
        <f>19213157+300000+78269</f>
        <v>19591426</v>
      </c>
      <c r="I13" s="29">
        <f>10000+5550+35000+5500+7407+157636+2806+36702+78663+75195-662+37268+11743+1173+20763+17587+28676+5316+5566+5391+1922+1441+15256+4168+1820+20000+955+60209+32242+3577+6300+112767+10194+1651+6914+359846+64880+4768+960+5000</f>
        <v>1262150</v>
      </c>
      <c r="J13" s="186">
        <f>H13+I13</f>
        <v>20853576</v>
      </c>
      <c r="K13" s="395">
        <f>10000+5550+35000+5500+7407+157636+2806+36702+78663+75195-662+37268+11743+1173+20763+17587+28676+5316+5566+5391+1922+1441+15256+4168+1820+20000+955+60209+32242+3577+6300+112767+10194+1651+6914+359846+64880+4768</f>
        <v>1256190</v>
      </c>
      <c r="L13" s="187"/>
    </row>
    <row r="14" spans="2:12" s="53" customFormat="1" ht="12" customHeight="1">
      <c r="B14" s="20"/>
      <c r="C14" s="471" t="s">
        <v>422</v>
      </c>
      <c r="D14" s="471"/>
      <c r="E14" s="471"/>
      <c r="F14" s="471"/>
      <c r="G14" s="471"/>
      <c r="H14" s="129">
        <v>232831</v>
      </c>
      <c r="I14" s="186"/>
      <c r="J14" s="186">
        <f>SUM(H14:I14)</f>
        <v>232831</v>
      </c>
      <c r="K14" s="395"/>
      <c r="L14" s="187"/>
    </row>
    <row r="15" spans="2:12" s="53" customFormat="1" ht="12">
      <c r="B15" s="20" t="s">
        <v>163</v>
      </c>
      <c r="C15" s="471" t="s">
        <v>164</v>
      </c>
      <c r="D15" s="471"/>
      <c r="E15" s="471"/>
      <c r="F15" s="471"/>
      <c r="G15" s="471"/>
      <c r="H15" s="129">
        <f>H16+H17</f>
        <v>1703755</v>
      </c>
      <c r="I15" s="129">
        <f>I16+I17</f>
        <v>0</v>
      </c>
      <c r="J15" s="129">
        <f>J16+J17</f>
        <v>1703755</v>
      </c>
      <c r="K15" s="395"/>
      <c r="L15" s="187"/>
    </row>
    <row r="16" spans="2:12" s="53" customFormat="1" ht="12">
      <c r="B16" s="248" t="s">
        <v>165</v>
      </c>
      <c r="C16" s="477" t="s">
        <v>166</v>
      </c>
      <c r="D16" s="477"/>
      <c r="E16" s="477"/>
      <c r="F16" s="477"/>
      <c r="G16" s="477"/>
      <c r="H16" s="129">
        <v>587965</v>
      </c>
      <c r="I16" s="186"/>
      <c r="J16" s="186">
        <f>H16+I16</f>
        <v>587965</v>
      </c>
      <c r="K16" s="395"/>
      <c r="L16" s="187"/>
    </row>
    <row r="17" spans="2:12" s="53" customFormat="1" ht="12">
      <c r="B17" s="248" t="s">
        <v>167</v>
      </c>
      <c r="C17" s="477" t="s">
        <v>253</v>
      </c>
      <c r="D17" s="477"/>
      <c r="E17" s="477"/>
      <c r="F17" s="477"/>
      <c r="G17" s="477"/>
      <c r="H17" s="129">
        <v>1115790</v>
      </c>
      <c r="I17" s="186"/>
      <c r="J17" s="186">
        <f>H17+I17</f>
        <v>1115790</v>
      </c>
      <c r="K17" s="395"/>
      <c r="L17" s="187"/>
    </row>
    <row r="18" spans="2:12" s="53" customFormat="1" ht="12.75" customHeight="1">
      <c r="B18" s="20" t="s">
        <v>168</v>
      </c>
      <c r="C18" s="471" t="s">
        <v>169</v>
      </c>
      <c r="D18" s="471"/>
      <c r="E18" s="471"/>
      <c r="F18" s="471"/>
      <c r="G18" s="471"/>
      <c r="H18" s="129">
        <v>120000</v>
      </c>
      <c r="I18" s="186"/>
      <c r="J18" s="186">
        <f>H18+I18</f>
        <v>120000</v>
      </c>
      <c r="K18" s="395"/>
      <c r="L18" s="187"/>
    </row>
    <row r="19" spans="2:12" s="53" customFormat="1" ht="14.25" customHeight="1">
      <c r="B19" s="20"/>
      <c r="C19" s="474" t="s">
        <v>318</v>
      </c>
      <c r="D19" s="474"/>
      <c r="E19" s="474"/>
      <c r="F19" s="474"/>
      <c r="G19" s="474"/>
      <c r="H19" s="17">
        <f>H21+H22+H23+H24+H20</f>
        <v>478648</v>
      </c>
      <c r="I19" s="17">
        <f>I21+I22+I23+I24+I20</f>
        <v>0</v>
      </c>
      <c r="J19" s="17">
        <f>J21+J22+J23+J24+J20</f>
        <v>478648</v>
      </c>
      <c r="K19" s="395"/>
      <c r="L19" s="187"/>
    </row>
    <row r="20" spans="2:12" s="53" customFormat="1" ht="12.75" customHeight="1">
      <c r="B20" s="20" t="s">
        <v>304</v>
      </c>
      <c r="C20" s="470" t="s">
        <v>305</v>
      </c>
      <c r="D20" s="470"/>
      <c r="E20" s="470"/>
      <c r="F20" s="470"/>
      <c r="G20" s="470"/>
      <c r="H20" s="129">
        <f>3000+130075</f>
        <v>133075</v>
      </c>
      <c r="I20" s="129"/>
      <c r="J20" s="129">
        <f>SUM(H20:I20)</f>
        <v>133075</v>
      </c>
      <c r="K20" s="395"/>
      <c r="L20" s="187"/>
    </row>
    <row r="21" spans="2:12" s="53" customFormat="1" ht="12.75" customHeight="1">
      <c r="B21" s="25" t="s">
        <v>170</v>
      </c>
      <c r="C21" s="470" t="s">
        <v>254</v>
      </c>
      <c r="D21" s="470"/>
      <c r="E21" s="470"/>
      <c r="F21" s="470"/>
      <c r="G21" s="470"/>
      <c r="H21" s="136">
        <v>61500</v>
      </c>
      <c r="I21" s="186"/>
      <c r="J21" s="186">
        <f>H21+I21</f>
        <v>61500</v>
      </c>
      <c r="K21" s="395"/>
      <c r="L21" s="187"/>
    </row>
    <row r="22" spans="2:12" s="53" customFormat="1" ht="12.75" customHeight="1">
      <c r="B22" s="20" t="s">
        <v>171</v>
      </c>
      <c r="C22" s="471" t="s">
        <v>255</v>
      </c>
      <c r="D22" s="471"/>
      <c r="E22" s="471"/>
      <c r="F22" s="471"/>
      <c r="G22" s="471"/>
      <c r="H22" s="129">
        <v>93300</v>
      </c>
      <c r="I22" s="186"/>
      <c r="J22" s="186">
        <f>H22+I22</f>
        <v>93300</v>
      </c>
      <c r="K22" s="395"/>
      <c r="L22" s="187"/>
    </row>
    <row r="23" spans="2:12" s="53" customFormat="1" ht="12.75" customHeight="1">
      <c r="B23" s="20" t="s">
        <v>172</v>
      </c>
      <c r="C23" s="471" t="s">
        <v>173</v>
      </c>
      <c r="D23" s="471"/>
      <c r="E23" s="471"/>
      <c r="F23" s="471"/>
      <c r="G23" s="471"/>
      <c r="H23" s="129">
        <v>10000</v>
      </c>
      <c r="I23" s="186"/>
      <c r="J23" s="186">
        <f>H23+I23</f>
        <v>10000</v>
      </c>
      <c r="K23" s="395"/>
      <c r="L23" s="187"/>
    </row>
    <row r="24" spans="2:12" s="188" customFormat="1" ht="21.75" customHeight="1">
      <c r="B24" s="25" t="s">
        <v>174</v>
      </c>
      <c r="C24" s="470" t="s">
        <v>256</v>
      </c>
      <c r="D24" s="470"/>
      <c r="E24" s="470"/>
      <c r="F24" s="470"/>
      <c r="G24" s="470"/>
      <c r="H24" s="136">
        <f>180000+773</f>
        <v>180773</v>
      </c>
      <c r="I24" s="189"/>
      <c r="J24" s="190">
        <f>H24+I24</f>
        <v>180773</v>
      </c>
      <c r="K24" s="396"/>
      <c r="L24" s="191"/>
    </row>
    <row r="25" spans="2:12" s="54" customFormat="1" ht="12.75" customHeight="1">
      <c r="B25" s="178"/>
      <c r="C25" s="474" t="s">
        <v>319</v>
      </c>
      <c r="D25" s="474"/>
      <c r="E25" s="474"/>
      <c r="F25" s="474"/>
      <c r="G25" s="474"/>
      <c r="H25" s="112">
        <f>H26+H39</f>
        <v>26003363</v>
      </c>
      <c r="I25" s="112">
        <f>I26+I39</f>
        <v>1603617</v>
      </c>
      <c r="J25" s="112">
        <f>J26+J39</f>
        <v>27606980</v>
      </c>
      <c r="K25" s="395"/>
      <c r="L25" s="192"/>
    </row>
    <row r="26" spans="2:12" s="54" customFormat="1" ht="13.5" customHeight="1">
      <c r="B26" s="178" t="s">
        <v>175</v>
      </c>
      <c r="C26" s="474" t="s">
        <v>190</v>
      </c>
      <c r="D26" s="474"/>
      <c r="E26" s="474"/>
      <c r="F26" s="474"/>
      <c r="G26" s="474"/>
      <c r="H26" s="112">
        <f>SUM(H27:H38)</f>
        <v>25573363</v>
      </c>
      <c r="I26" s="112">
        <f>SUM(I27:I38)</f>
        <v>1603617</v>
      </c>
      <c r="J26" s="112">
        <f>SUM(J27:J38)</f>
        <v>27176980</v>
      </c>
      <c r="K26" s="395"/>
      <c r="L26" s="192"/>
    </row>
    <row r="27" spans="2:12" s="279" customFormat="1" ht="34.5" customHeight="1">
      <c r="B27" s="403" t="s">
        <v>283</v>
      </c>
      <c r="C27" s="392"/>
      <c r="D27" s="470" t="s">
        <v>510</v>
      </c>
      <c r="E27" s="470"/>
      <c r="F27" s="470"/>
      <c r="G27" s="470"/>
      <c r="H27" s="136">
        <f>3760432+940148</f>
        <v>4700580</v>
      </c>
      <c r="I27" s="136">
        <f>843232</f>
        <v>843232</v>
      </c>
      <c r="J27" s="136">
        <f aca="true" t="shared" si="0" ref="J27:J36">SUM(H27:I27)</f>
        <v>5543812</v>
      </c>
      <c r="K27" s="394"/>
      <c r="L27" s="360"/>
    </row>
    <row r="28" spans="2:12" s="279" customFormat="1" ht="27" customHeight="1">
      <c r="B28" s="403" t="s">
        <v>284</v>
      </c>
      <c r="C28" s="392"/>
      <c r="D28" s="470" t="s">
        <v>285</v>
      </c>
      <c r="E28" s="470"/>
      <c r="F28" s="470"/>
      <c r="G28" s="470"/>
      <c r="H28" s="136">
        <f>203165+50791</f>
        <v>253956</v>
      </c>
      <c r="I28" s="136">
        <f>50792</f>
        <v>50792</v>
      </c>
      <c r="J28" s="136">
        <f t="shared" si="0"/>
        <v>304748</v>
      </c>
      <c r="K28" s="394"/>
      <c r="L28" s="360"/>
    </row>
    <row r="29" spans="2:12" s="279" customFormat="1" ht="23.25" customHeight="1">
      <c r="B29" s="403" t="s">
        <v>286</v>
      </c>
      <c r="C29" s="392"/>
      <c r="D29" s="470" t="s">
        <v>424</v>
      </c>
      <c r="E29" s="470"/>
      <c r="F29" s="470"/>
      <c r="G29" s="470"/>
      <c r="H29" s="136">
        <f>659432+565384+276061</f>
        <v>1500877</v>
      </c>
      <c r="I29" s="136">
        <f>115854+64636</f>
        <v>180490</v>
      </c>
      <c r="J29" s="136">
        <f t="shared" si="0"/>
        <v>1681367</v>
      </c>
      <c r="K29" s="394"/>
      <c r="L29" s="360"/>
    </row>
    <row r="30" spans="2:12" s="279" customFormat="1" ht="39" customHeight="1" hidden="1">
      <c r="B30" s="403" t="s">
        <v>287</v>
      </c>
      <c r="C30" s="392"/>
      <c r="D30" s="470" t="s">
        <v>288</v>
      </c>
      <c r="E30" s="470"/>
      <c r="F30" s="470"/>
      <c r="G30" s="470"/>
      <c r="H30" s="136"/>
      <c r="I30" s="136"/>
      <c r="J30" s="136">
        <f t="shared" si="0"/>
        <v>0</v>
      </c>
      <c r="K30" s="394"/>
      <c r="L30" s="360"/>
    </row>
    <row r="31" spans="2:12" s="279" customFormat="1" ht="36.75" customHeight="1">
      <c r="B31" s="403" t="s">
        <v>425</v>
      </c>
      <c r="C31" s="392"/>
      <c r="D31" s="470" t="s">
        <v>426</v>
      </c>
      <c r="E31" s="470"/>
      <c r="F31" s="470"/>
      <c r="G31" s="470"/>
      <c r="H31" s="136">
        <f>292008+73002</f>
        <v>365010</v>
      </c>
      <c r="I31" s="136">
        <f>67209</f>
        <v>67209</v>
      </c>
      <c r="J31" s="136">
        <f t="shared" si="0"/>
        <v>432219</v>
      </c>
      <c r="K31" s="394"/>
      <c r="L31" s="360"/>
    </row>
    <row r="32" spans="2:12" s="279" customFormat="1" ht="21.75" customHeight="1">
      <c r="B32" s="404">
        <v>18.61</v>
      </c>
      <c r="C32" s="392"/>
      <c r="D32" s="470" t="s">
        <v>528</v>
      </c>
      <c r="E32" s="470"/>
      <c r="F32" s="470"/>
      <c r="G32" s="470"/>
      <c r="H32" s="136">
        <f>120700+30073+171330+194140+420360+3492+171431</f>
        <v>1111526</v>
      </c>
      <c r="I32" s="136">
        <f>19748-40431-936-4768</f>
        <v>-26387</v>
      </c>
      <c r="J32" s="136">
        <f t="shared" si="0"/>
        <v>1085139</v>
      </c>
      <c r="K32" s="394"/>
      <c r="L32" s="360"/>
    </row>
    <row r="33" spans="2:12" s="279" customFormat="1" ht="13.5" customHeight="1">
      <c r="B33" s="404" t="s">
        <v>583</v>
      </c>
      <c r="C33" s="392"/>
      <c r="D33" s="470" t="s">
        <v>529</v>
      </c>
      <c r="E33" s="470"/>
      <c r="F33" s="470"/>
      <c r="G33" s="470"/>
      <c r="H33" s="136">
        <f>17904+19748</f>
        <v>37652</v>
      </c>
      <c r="I33" s="136">
        <v>-19748</v>
      </c>
      <c r="J33" s="136">
        <f t="shared" si="0"/>
        <v>17904</v>
      </c>
      <c r="K33" s="394"/>
      <c r="L33" s="360"/>
    </row>
    <row r="34" spans="2:12" s="361" customFormat="1" ht="25.5" customHeight="1">
      <c r="B34" s="405">
        <v>18.64</v>
      </c>
      <c r="C34" s="392"/>
      <c r="D34" s="470" t="s">
        <v>423</v>
      </c>
      <c r="E34" s="470"/>
      <c r="F34" s="470"/>
      <c r="G34" s="470"/>
      <c r="H34" s="136">
        <v>94911</v>
      </c>
      <c r="I34" s="136"/>
      <c r="J34" s="136">
        <f t="shared" si="0"/>
        <v>94911</v>
      </c>
      <c r="K34" s="394"/>
      <c r="L34" s="362"/>
    </row>
    <row r="35" spans="2:12" s="361" customFormat="1" ht="12.75" customHeight="1">
      <c r="B35" s="405">
        <v>18.64</v>
      </c>
      <c r="C35" s="392"/>
      <c r="D35" s="470" t="s">
        <v>282</v>
      </c>
      <c r="E35" s="470"/>
      <c r="F35" s="470"/>
      <c r="G35" s="470"/>
      <c r="H35" s="136">
        <v>2076772</v>
      </c>
      <c r="I35" s="136"/>
      <c r="J35" s="136">
        <f t="shared" si="0"/>
        <v>2076772</v>
      </c>
      <c r="K35" s="394"/>
      <c r="L35" s="362"/>
    </row>
    <row r="36" spans="2:12" s="361" customFormat="1" ht="16.5" customHeight="1">
      <c r="B36" s="405">
        <v>18.61</v>
      </c>
      <c r="C36" s="392"/>
      <c r="D36" s="470" t="s">
        <v>317</v>
      </c>
      <c r="E36" s="470"/>
      <c r="F36" s="470"/>
      <c r="G36" s="470"/>
      <c r="H36" s="198">
        <f>3302784+84000</f>
        <v>3386784</v>
      </c>
      <c r="I36" s="136"/>
      <c r="J36" s="136">
        <f t="shared" si="0"/>
        <v>3386784</v>
      </c>
      <c r="K36" s="394"/>
      <c r="L36" s="362"/>
    </row>
    <row r="37" spans="2:13" s="279" customFormat="1" ht="16.5" customHeight="1">
      <c r="B37" s="405" t="s">
        <v>389</v>
      </c>
      <c r="C37" s="392"/>
      <c r="D37" s="470" t="s">
        <v>316</v>
      </c>
      <c r="E37" s="470"/>
      <c r="F37" s="470"/>
      <c r="G37" s="470"/>
      <c r="H37" s="136">
        <f>191420+8157511+3413544+24639-3964+237718+24427</f>
        <v>12045295</v>
      </c>
      <c r="I37" s="136">
        <f>229863+18000+7632+2388+95690+16134+138000+322</f>
        <v>508029</v>
      </c>
      <c r="J37" s="136">
        <f>SUM(H37:I37)</f>
        <v>12553324</v>
      </c>
      <c r="K37" s="394"/>
      <c r="L37" s="360"/>
      <c r="M37" s="190"/>
    </row>
    <row r="38" spans="1:12" s="54" customFormat="1" ht="36" customHeight="1" hidden="1">
      <c r="A38" s="194"/>
      <c r="B38" s="195">
        <v>18.629</v>
      </c>
      <c r="C38" s="196"/>
      <c r="D38" s="476" t="s">
        <v>29</v>
      </c>
      <c r="E38" s="476"/>
      <c r="F38" s="476"/>
      <c r="G38" s="476"/>
      <c r="H38" s="193"/>
      <c r="I38" s="186"/>
      <c r="J38" s="193">
        <f>I38+H38</f>
        <v>0</v>
      </c>
      <c r="K38" s="395"/>
      <c r="L38" s="192"/>
    </row>
    <row r="39" spans="2:12" s="188" customFormat="1" ht="14.25" customHeight="1">
      <c r="B39" s="55" t="s">
        <v>176</v>
      </c>
      <c r="C39" s="475" t="s">
        <v>177</v>
      </c>
      <c r="D39" s="475"/>
      <c r="E39" s="475"/>
      <c r="F39" s="475"/>
      <c r="G39" s="475"/>
      <c r="H39" s="5">
        <v>430000</v>
      </c>
      <c r="I39" s="189"/>
      <c r="J39" s="5">
        <f>I39+H39</f>
        <v>430000</v>
      </c>
      <c r="K39" s="396"/>
      <c r="L39" s="191"/>
    </row>
    <row r="40" spans="2:12" s="25" customFormat="1" ht="13.5" customHeight="1">
      <c r="B40" s="55"/>
      <c r="C40" s="475" t="s">
        <v>184</v>
      </c>
      <c r="D40" s="475"/>
      <c r="E40" s="475"/>
      <c r="F40" s="475"/>
      <c r="G40" s="475"/>
      <c r="H40" s="5">
        <f>H42+H43+H41</f>
        <v>2653801</v>
      </c>
      <c r="I40" s="5">
        <f>I42+I43+I41</f>
        <v>19402</v>
      </c>
      <c r="J40" s="5">
        <f>J42+J43+J41</f>
        <v>2673203</v>
      </c>
      <c r="K40" s="396"/>
      <c r="L40" s="197"/>
    </row>
    <row r="41" spans="2:12" s="188" customFormat="1" ht="13.5" customHeight="1">
      <c r="B41" s="55" t="s">
        <v>227</v>
      </c>
      <c r="C41" s="470" t="s">
        <v>228</v>
      </c>
      <c r="D41" s="470"/>
      <c r="E41" s="470"/>
      <c r="F41" s="470"/>
      <c r="G41" s="470"/>
      <c r="H41" s="198">
        <f>74025+27859</f>
        <v>101884</v>
      </c>
      <c r="I41" s="198"/>
      <c r="J41" s="198">
        <f>H41+I41</f>
        <v>101884</v>
      </c>
      <c r="K41" s="396"/>
      <c r="L41" s="191"/>
    </row>
    <row r="42" spans="2:12" s="188" customFormat="1" ht="27" customHeight="1">
      <c r="B42" s="55" t="s">
        <v>178</v>
      </c>
      <c r="C42" s="470" t="s">
        <v>179</v>
      </c>
      <c r="D42" s="470"/>
      <c r="E42" s="470"/>
      <c r="F42" s="470"/>
      <c r="G42" s="470"/>
      <c r="H42" s="198">
        <f>2337653+5430</f>
        <v>2343083</v>
      </c>
      <c r="I42" s="189"/>
      <c r="J42" s="198">
        <f>H42+I42</f>
        <v>2343083</v>
      </c>
      <c r="K42" s="396"/>
      <c r="L42" s="191"/>
    </row>
    <row r="43" spans="2:12" s="188" customFormat="1" ht="12.75" customHeight="1">
      <c r="B43" s="55" t="s">
        <v>220</v>
      </c>
      <c r="C43" s="470" t="s">
        <v>257</v>
      </c>
      <c r="D43" s="470"/>
      <c r="E43" s="470"/>
      <c r="F43" s="470"/>
      <c r="G43" s="470"/>
      <c r="H43" s="198">
        <f>7500+640+200694</f>
        <v>208834</v>
      </c>
      <c r="I43" s="189">
        <f>2528+360+950-506+16070</f>
        <v>19402</v>
      </c>
      <c r="J43" s="198">
        <f>H43+I43</f>
        <v>228236</v>
      </c>
      <c r="K43" s="396"/>
      <c r="L43" s="191"/>
    </row>
    <row r="44" spans="2:12" s="199" customFormat="1" ht="18.75" customHeight="1">
      <c r="B44" s="183"/>
      <c r="C44" s="473" t="s">
        <v>258</v>
      </c>
      <c r="D44" s="473"/>
      <c r="E44" s="473"/>
      <c r="F44" s="473"/>
      <c r="G44" s="473"/>
      <c r="H44" s="200">
        <f>SUM(H45:H53)</f>
        <v>64350137</v>
      </c>
      <c r="I44" s="200">
        <f>SUM(I45:I53)</f>
        <v>2485023</v>
      </c>
      <c r="J44" s="200">
        <f>SUM(J45:J53)</f>
        <v>66835160</v>
      </c>
      <c r="K44" s="397"/>
      <c r="L44" s="201"/>
    </row>
    <row r="45" spans="2:12" s="53" customFormat="1" ht="13.5" customHeight="1">
      <c r="B45" s="249" t="s">
        <v>130</v>
      </c>
      <c r="C45" s="471" t="s">
        <v>80</v>
      </c>
      <c r="D45" s="471"/>
      <c r="E45" s="471"/>
      <c r="F45" s="471"/>
      <c r="G45" s="471"/>
      <c r="H45" s="202">
        <f>'3.pielik.'!I9</f>
        <v>3888736</v>
      </c>
      <c r="I45" s="186">
        <f>-3613-2728-3711-1968-2170-1275-67566-15-597+10000+64880+960</f>
        <v>-7803</v>
      </c>
      <c r="J45" s="186">
        <f>H45+I45</f>
        <v>3880933</v>
      </c>
      <c r="K45" s="395"/>
      <c r="L45" s="187"/>
    </row>
    <row r="46" spans="2:12" s="53" customFormat="1" ht="13.5" customHeight="1">
      <c r="B46" s="61" t="s">
        <v>40</v>
      </c>
      <c r="C46" s="471" t="s">
        <v>87</v>
      </c>
      <c r="D46" s="471"/>
      <c r="E46" s="471"/>
      <c r="F46" s="471"/>
      <c r="G46" s="471"/>
      <c r="H46" s="202">
        <f>'3.pielik.'!I242</f>
        <v>541064</v>
      </c>
      <c r="I46" s="186">
        <f>5500+37268+11743</f>
        <v>54511</v>
      </c>
      <c r="J46" s="186">
        <f aca="true" t="shared" si="1" ref="J46:J53">H46+I46</f>
        <v>595575</v>
      </c>
      <c r="K46" s="395"/>
      <c r="L46" s="187"/>
    </row>
    <row r="47" spans="2:12" s="53" customFormat="1" ht="13.5" customHeight="1">
      <c r="B47" s="61" t="s">
        <v>43</v>
      </c>
      <c r="C47" s="471" t="s">
        <v>88</v>
      </c>
      <c r="D47" s="471"/>
      <c r="E47" s="471"/>
      <c r="F47" s="471"/>
      <c r="G47" s="471"/>
      <c r="H47" s="202">
        <f>'3.pielik.'!I339</f>
        <v>16201955</v>
      </c>
      <c r="I47" s="186">
        <f>157636+2806</f>
        <v>160442</v>
      </c>
      <c r="J47" s="186">
        <f t="shared" si="1"/>
        <v>16362397</v>
      </c>
      <c r="K47" s="395"/>
      <c r="L47" s="187"/>
    </row>
    <row r="48" spans="2:12" s="53" customFormat="1" ht="13.5" customHeight="1">
      <c r="B48" s="61" t="s">
        <v>50</v>
      </c>
      <c r="C48" s="471" t="s">
        <v>92</v>
      </c>
      <c r="D48" s="471"/>
      <c r="E48" s="471"/>
      <c r="F48" s="471"/>
      <c r="G48" s="471"/>
      <c r="H48" s="202">
        <f>'3.pielik.'!I603</f>
        <v>2764401</v>
      </c>
      <c r="I48" s="186">
        <f>36702+78663</f>
        <v>115365</v>
      </c>
      <c r="J48" s="186">
        <f t="shared" si="1"/>
        <v>2879766</v>
      </c>
      <c r="K48" s="395"/>
      <c r="L48" s="187"/>
    </row>
    <row r="49" spans="2:12" s="53" customFormat="1" ht="13.5" customHeight="1">
      <c r="B49" s="61" t="s">
        <v>51</v>
      </c>
      <c r="C49" s="471" t="s">
        <v>229</v>
      </c>
      <c r="D49" s="471"/>
      <c r="E49" s="471"/>
      <c r="F49" s="471"/>
      <c r="G49" s="471"/>
      <c r="H49" s="202">
        <f>'3.pielik.'!I752</f>
        <v>3232555</v>
      </c>
      <c r="I49" s="186">
        <f>2728+3711+2170+67566+15+7407-150000+75827+15000-15632+1173+6300+10194</f>
        <v>26459</v>
      </c>
      <c r="J49" s="186">
        <f t="shared" si="1"/>
        <v>3259014</v>
      </c>
      <c r="K49" s="395"/>
      <c r="L49" s="187"/>
    </row>
    <row r="50" spans="2:12" s="53" customFormat="1" ht="13.5" customHeight="1">
      <c r="B50" s="61" t="s">
        <v>56</v>
      </c>
      <c r="C50" s="471" t="s">
        <v>104</v>
      </c>
      <c r="D50" s="471"/>
      <c r="E50" s="471"/>
      <c r="F50" s="471"/>
      <c r="G50" s="471"/>
      <c r="H50" s="202">
        <f>'3.pielik.'!I1049</f>
        <v>73564</v>
      </c>
      <c r="I50" s="186">
        <f>1820</f>
        <v>1820</v>
      </c>
      <c r="J50" s="186">
        <f t="shared" si="1"/>
        <v>75384</v>
      </c>
      <c r="K50" s="395"/>
      <c r="L50" s="187"/>
    </row>
    <row r="51" spans="2:12" s="53" customFormat="1" ht="13.5" customHeight="1">
      <c r="B51" s="61" t="s">
        <v>60</v>
      </c>
      <c r="C51" s="471" t="s">
        <v>121</v>
      </c>
      <c r="D51" s="471"/>
      <c r="E51" s="471"/>
      <c r="F51" s="471"/>
      <c r="G51" s="471"/>
      <c r="H51" s="202">
        <f>'3.pielik.'!I1088</f>
        <v>4990012</v>
      </c>
      <c r="I51" s="186">
        <f>3613+1275+2528+360+5550+35000-662-506+20763+17587+5316+5566+5391+1922+1441+15256+20000+955+31306+1651+5000</f>
        <v>179312</v>
      </c>
      <c r="J51" s="186">
        <f t="shared" si="1"/>
        <v>5169324</v>
      </c>
      <c r="K51" s="395"/>
      <c r="L51" s="187"/>
    </row>
    <row r="52" spans="2:12" s="53" customFormat="1" ht="13.5" customHeight="1">
      <c r="B52" s="61" t="s">
        <v>74</v>
      </c>
      <c r="C52" s="471" t="s">
        <v>44</v>
      </c>
      <c r="D52" s="471"/>
      <c r="E52" s="471"/>
      <c r="F52" s="471"/>
      <c r="G52" s="471"/>
      <c r="H52" s="129">
        <f>'3.pielik.'!I2028</f>
        <v>26360672</v>
      </c>
      <c r="I52" s="186">
        <f>16070+1968+18000+7632+2985+1141723-40431+950+4168+60209+3577+359846</f>
        <v>1576697</v>
      </c>
      <c r="J52" s="186">
        <f t="shared" si="1"/>
        <v>27937369</v>
      </c>
      <c r="K52" s="395"/>
      <c r="L52" s="95"/>
    </row>
    <row r="53" spans="2:12" s="53" customFormat="1" ht="13.5" customHeight="1">
      <c r="B53" s="250" t="s">
        <v>106</v>
      </c>
      <c r="C53" s="471" t="s">
        <v>131</v>
      </c>
      <c r="D53" s="471"/>
      <c r="E53" s="471"/>
      <c r="F53" s="471"/>
      <c r="G53" s="471"/>
      <c r="H53" s="202">
        <f>'3.pielik.'!I2851</f>
        <v>6297178</v>
      </c>
      <c r="I53" s="186">
        <f>229863+28676+112767+6914</f>
        <v>378220</v>
      </c>
      <c r="J53" s="186">
        <f t="shared" si="1"/>
        <v>6675398</v>
      </c>
      <c r="K53" s="395"/>
      <c r="L53" s="187"/>
    </row>
    <row r="54" spans="2:12" s="199" customFormat="1" ht="15" customHeight="1">
      <c r="B54" s="183"/>
      <c r="C54" s="473" t="s">
        <v>185</v>
      </c>
      <c r="D54" s="473"/>
      <c r="E54" s="473"/>
      <c r="F54" s="473"/>
      <c r="G54" s="473"/>
      <c r="H54" s="200">
        <f>H9-H44</f>
        <v>-13566313</v>
      </c>
      <c r="I54" s="200">
        <f>I9-I44</f>
        <v>400146</v>
      </c>
      <c r="J54" s="200">
        <f>J9-J44</f>
        <v>-13166167</v>
      </c>
      <c r="K54" s="397">
        <f>J54+J55</f>
        <v>0</v>
      </c>
      <c r="L54" s="201"/>
    </row>
    <row r="55" spans="3:12" s="20" customFormat="1" ht="12">
      <c r="C55" s="474" t="s">
        <v>201</v>
      </c>
      <c r="D55" s="474"/>
      <c r="E55" s="474"/>
      <c r="F55" s="474"/>
      <c r="G55" s="474"/>
      <c r="H55" s="23">
        <f>H56+H59+H63</f>
        <v>13566313</v>
      </c>
      <c r="I55" s="23">
        <f>I56+I59+I63</f>
        <v>-400146</v>
      </c>
      <c r="J55" s="23">
        <f>J56+J59+J63</f>
        <v>13166167</v>
      </c>
      <c r="K55" s="395"/>
      <c r="L55" s="203"/>
    </row>
    <row r="56" spans="2:12" s="53" customFormat="1" ht="12.75" customHeight="1">
      <c r="B56" s="20" t="s">
        <v>243</v>
      </c>
      <c r="C56" s="471" t="s">
        <v>181</v>
      </c>
      <c r="D56" s="471"/>
      <c r="E56" s="471"/>
      <c r="F56" s="471"/>
      <c r="G56" s="471"/>
      <c r="H56" s="202">
        <f>H57-H58</f>
        <v>14138151</v>
      </c>
      <c r="I56" s="202">
        <f>I57-I58</f>
        <v>0</v>
      </c>
      <c r="J56" s="202">
        <f>J57-J58</f>
        <v>14138151</v>
      </c>
      <c r="K56" s="395"/>
      <c r="L56" s="187"/>
    </row>
    <row r="57" spans="2:12" s="53" customFormat="1" ht="12" customHeight="1">
      <c r="B57" s="20"/>
      <c r="C57" s="181"/>
      <c r="D57" s="472" t="s">
        <v>134</v>
      </c>
      <c r="E57" s="472"/>
      <c r="F57" s="472"/>
      <c r="G57" s="472"/>
      <c r="H57" s="204">
        <v>14138151</v>
      </c>
      <c r="I57" s="186"/>
      <c r="J57" s="186">
        <f>H57+I57</f>
        <v>14138151</v>
      </c>
      <c r="K57" s="395"/>
      <c r="L57" s="187"/>
    </row>
    <row r="58" spans="2:12" s="53" customFormat="1" ht="12" customHeight="1">
      <c r="B58" s="20"/>
      <c r="C58" s="181"/>
      <c r="D58" s="472" t="s">
        <v>135</v>
      </c>
      <c r="E58" s="472"/>
      <c r="F58" s="472"/>
      <c r="G58" s="472"/>
      <c r="H58" s="204"/>
      <c r="I58" s="186"/>
      <c r="J58" s="186">
        <f>H58+I58</f>
        <v>0</v>
      </c>
      <c r="K58" s="395"/>
      <c r="L58" s="187"/>
    </row>
    <row r="59" spans="2:12" s="53" customFormat="1" ht="12">
      <c r="B59" s="20" t="s">
        <v>244</v>
      </c>
      <c r="C59" s="471" t="s">
        <v>193</v>
      </c>
      <c r="D59" s="471"/>
      <c r="E59" s="471"/>
      <c r="F59" s="471"/>
      <c r="G59" s="471"/>
      <c r="H59" s="202">
        <f>H61+H62</f>
        <v>-407577</v>
      </c>
      <c r="I59" s="202">
        <f>I61+I62</f>
        <v>-250146</v>
      </c>
      <c r="J59" s="202">
        <f>J61+J62</f>
        <v>-657723</v>
      </c>
      <c r="K59" s="395"/>
      <c r="L59" s="187"/>
    </row>
    <row r="60" spans="2:12" s="53" customFormat="1" ht="1.5" customHeight="1" hidden="1">
      <c r="B60" s="20"/>
      <c r="C60" s="181"/>
      <c r="D60" s="472" t="s">
        <v>180</v>
      </c>
      <c r="E60" s="472"/>
      <c r="F60" s="472"/>
      <c r="G60" s="472"/>
      <c r="H60" s="204"/>
      <c r="I60" s="186"/>
      <c r="K60" s="395"/>
      <c r="L60" s="187"/>
    </row>
    <row r="61" spans="2:12" s="205" customFormat="1" ht="12">
      <c r="B61" s="251"/>
      <c r="C61" s="182"/>
      <c r="D61" s="472" t="s">
        <v>235</v>
      </c>
      <c r="E61" s="472"/>
      <c r="F61" s="472"/>
      <c r="G61" s="472"/>
      <c r="H61" s="204">
        <f>'4.pielik.'!F22</f>
        <v>3306119</v>
      </c>
      <c r="I61" s="206"/>
      <c r="J61" s="204">
        <f>H61+I61</f>
        <v>3306119</v>
      </c>
      <c r="K61" s="398"/>
      <c r="L61" s="207"/>
    </row>
    <row r="62" spans="2:12" s="208" customFormat="1" ht="12">
      <c r="B62" s="252"/>
      <c r="D62" s="472" t="s">
        <v>234</v>
      </c>
      <c r="E62" s="472"/>
      <c r="F62" s="472"/>
      <c r="G62" s="472"/>
      <c r="H62" s="209">
        <f>'4.pielik.'!F35</f>
        <v>-3713696</v>
      </c>
      <c r="I62" s="210">
        <f>-95690-16134-138000-322</f>
        <v>-250146</v>
      </c>
      <c r="J62" s="209">
        <f>H62+I62</f>
        <v>-3963842</v>
      </c>
      <c r="K62" s="399"/>
      <c r="L62" s="211"/>
    </row>
    <row r="63" spans="2:12" s="53" customFormat="1" ht="12">
      <c r="B63" s="20" t="s">
        <v>247</v>
      </c>
      <c r="C63" s="471" t="s">
        <v>197</v>
      </c>
      <c r="D63" s="471"/>
      <c r="E63" s="471"/>
      <c r="F63" s="471"/>
      <c r="G63" s="471"/>
      <c r="H63" s="202">
        <f>-164261</f>
        <v>-164261</v>
      </c>
      <c r="I63" s="186">
        <v>-150000</v>
      </c>
      <c r="J63" s="202">
        <f>H63+I63</f>
        <v>-314261</v>
      </c>
      <c r="K63" s="395"/>
      <c r="L63" s="187"/>
    </row>
    <row r="64" spans="2:12" s="4" customFormat="1" ht="12">
      <c r="B64" s="8"/>
      <c r="H64" s="22"/>
      <c r="I64" s="74"/>
      <c r="K64" s="393"/>
      <c r="L64" s="212"/>
    </row>
    <row r="65" spans="2:12" s="4" customFormat="1" ht="12">
      <c r="B65" s="8"/>
      <c r="H65" s="22"/>
      <c r="I65" s="74"/>
      <c r="K65" s="393"/>
      <c r="L65" s="212"/>
    </row>
    <row r="66" spans="2:12" s="213" customFormat="1" ht="15">
      <c r="B66" s="213" t="s">
        <v>519</v>
      </c>
      <c r="H66" s="478" t="s">
        <v>520</v>
      </c>
      <c r="I66" s="479"/>
      <c r="J66" s="479"/>
      <c r="K66" s="393"/>
      <c r="L66" s="214"/>
    </row>
    <row r="83" ht="11.25">
      <c r="G83" s="56"/>
    </row>
    <row r="89" ht="11.25">
      <c r="F89" s="10"/>
    </row>
  </sheetData>
  <mergeCells count="60">
    <mergeCell ref="H66:J66"/>
    <mergeCell ref="B6:H6"/>
    <mergeCell ref="H7:J7"/>
    <mergeCell ref="C8:G8"/>
    <mergeCell ref="C9:G9"/>
    <mergeCell ref="I6:J6"/>
    <mergeCell ref="C10:G10"/>
    <mergeCell ref="C11:G11"/>
    <mergeCell ref="C12:G12"/>
    <mergeCell ref="C15:G15"/>
    <mergeCell ref="C16:G16"/>
    <mergeCell ref="C17:G17"/>
    <mergeCell ref="C14:G14"/>
    <mergeCell ref="C13:G13"/>
    <mergeCell ref="C18:G18"/>
    <mergeCell ref="C19:G19"/>
    <mergeCell ref="D38:G38"/>
    <mergeCell ref="C25:G25"/>
    <mergeCell ref="C26:G26"/>
    <mergeCell ref="D27:G27"/>
    <mergeCell ref="D28:G28"/>
    <mergeCell ref="D29:G29"/>
    <mergeCell ref="D30:G30"/>
    <mergeCell ref="D31:G31"/>
    <mergeCell ref="D37:G37"/>
    <mergeCell ref="D36:G36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D57:G57"/>
    <mergeCell ref="D58:G58"/>
    <mergeCell ref="C63:G63"/>
    <mergeCell ref="C59:G59"/>
    <mergeCell ref="D60:G60"/>
    <mergeCell ref="D61:G61"/>
    <mergeCell ref="D62:G62"/>
    <mergeCell ref="C20:G20"/>
    <mergeCell ref="D32:G32"/>
    <mergeCell ref="D34:G34"/>
    <mergeCell ref="D35:G35"/>
    <mergeCell ref="C21:G21"/>
    <mergeCell ref="C22:G22"/>
    <mergeCell ref="C23:G23"/>
    <mergeCell ref="C24:G24"/>
    <mergeCell ref="D33:G33"/>
  </mergeCells>
  <printOptions/>
  <pageMargins left="0.49" right="0.4" top="0.17" bottom="0.17" header="0.17" footer="0.1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47"/>
  <sheetViews>
    <sheetView zoomScale="120" zoomScaleNormal="120" workbookViewId="0" topLeftCell="A1">
      <selection activeCell="J2" sqref="J2:K4"/>
    </sheetView>
  </sheetViews>
  <sheetFormatPr defaultColWidth="9.140625" defaultRowHeight="12.75"/>
  <cols>
    <col min="1" max="1" width="3.421875" style="407" customWidth="1"/>
    <col min="2" max="2" width="0.13671875" style="91" hidden="1" customWidth="1"/>
    <col min="3" max="3" width="9.8515625" style="149" customWidth="1"/>
    <col min="4" max="4" width="5.8515625" style="91" customWidth="1"/>
    <col min="5" max="5" width="9.28125" style="91" customWidth="1"/>
    <col min="6" max="6" width="9.140625" style="91" customWidth="1"/>
    <col min="7" max="7" width="13.7109375" style="91" customWidth="1"/>
    <col min="8" max="8" width="16.8515625" style="91" customWidth="1"/>
    <col min="9" max="9" width="12.7109375" style="29" customWidth="1"/>
    <col min="10" max="10" width="12.140625" style="80" customWidth="1"/>
    <col min="11" max="11" width="12.28125" style="80" customWidth="1"/>
    <col min="12" max="12" width="11.28125" style="184" customWidth="1"/>
    <col min="13" max="13" width="9.421875" style="91" bestFit="1" customWidth="1"/>
    <col min="14" max="16384" width="9.140625" style="91" customWidth="1"/>
  </cols>
  <sheetData>
    <row r="1" spans="1:12" ht="14.25" customHeight="1">
      <c r="A1" s="406" t="s">
        <v>585</v>
      </c>
      <c r="H1" s="92"/>
      <c r="I1" s="92"/>
      <c r="J1" s="92" t="s">
        <v>33</v>
      </c>
      <c r="L1" s="93"/>
    </row>
    <row r="2" spans="8:12" ht="14.25" customHeight="1">
      <c r="H2" s="94"/>
      <c r="I2" s="94"/>
      <c r="J2" s="3" t="s">
        <v>606</v>
      </c>
      <c r="K2" s="14"/>
      <c r="L2" s="93"/>
    </row>
    <row r="3" spans="8:12" ht="14.25" customHeight="1">
      <c r="H3" s="94"/>
      <c r="I3" s="94"/>
      <c r="J3" s="3" t="s">
        <v>607</v>
      </c>
      <c r="K3" s="14"/>
      <c r="L3" s="93"/>
    </row>
    <row r="4" spans="8:12" ht="14.25" customHeight="1">
      <c r="H4" s="94"/>
      <c r="I4" s="94"/>
      <c r="J4" s="3" t="s">
        <v>608</v>
      </c>
      <c r="K4" s="14"/>
      <c r="L4" s="93"/>
    </row>
    <row r="5" spans="8:12" ht="5.25" customHeight="1">
      <c r="H5" s="94"/>
      <c r="I5" s="94"/>
      <c r="L5" s="93"/>
    </row>
    <row r="6" spans="3:12" ht="22.5" customHeight="1">
      <c r="C6" s="488" t="s">
        <v>401</v>
      </c>
      <c r="D6" s="456"/>
      <c r="E6" s="456"/>
      <c r="F6" s="456"/>
      <c r="G6" s="456"/>
      <c r="H6" s="456"/>
      <c r="I6" s="456"/>
      <c r="J6" s="456"/>
      <c r="K6" s="456"/>
      <c r="L6" s="93"/>
    </row>
    <row r="7" spans="3:12" ht="0.75" customHeight="1">
      <c r="C7" s="363"/>
      <c r="D7" s="363"/>
      <c r="E7" s="363"/>
      <c r="F7" s="363"/>
      <c r="G7" s="363"/>
      <c r="H7" s="363"/>
      <c r="I7" s="363"/>
      <c r="J7" s="363"/>
      <c r="K7" s="363"/>
      <c r="L7" s="93"/>
    </row>
    <row r="8" spans="1:12" s="82" customFormat="1" ht="33.75" customHeight="1">
      <c r="A8" s="408" t="s">
        <v>526</v>
      </c>
      <c r="C8" s="102" t="s">
        <v>34</v>
      </c>
      <c r="D8" s="424" t="s">
        <v>35</v>
      </c>
      <c r="E8" s="424"/>
      <c r="F8" s="424"/>
      <c r="G8" s="424"/>
      <c r="H8" s="424"/>
      <c r="I8" s="117" t="s">
        <v>578</v>
      </c>
      <c r="J8" s="367" t="s">
        <v>186</v>
      </c>
      <c r="K8" s="102" t="s">
        <v>576</v>
      </c>
      <c r="L8" s="98"/>
    </row>
    <row r="9" spans="1:13" s="6" customFormat="1" ht="13.5" customHeight="1">
      <c r="A9" s="409">
        <f>'2.pielikums'!J45-'3.pielik.'!K9</f>
        <v>0</v>
      </c>
      <c r="C9" s="150" t="s">
        <v>81</v>
      </c>
      <c r="D9" s="437" t="s">
        <v>80</v>
      </c>
      <c r="E9" s="437"/>
      <c r="F9" s="437"/>
      <c r="G9" s="437"/>
      <c r="H9" s="437"/>
      <c r="I9" s="134">
        <f>I16+I89+I113+I132+I151+I170+I189+I204</f>
        <v>3888736</v>
      </c>
      <c r="J9" s="134">
        <f>J16+J89+J113+J132+J151+J170+J189+J204</f>
        <v>-7803</v>
      </c>
      <c r="K9" s="134">
        <f>K16+K89+K113+K132+K151+K170+K189+K204</f>
        <v>3880933</v>
      </c>
      <c r="L9" s="93"/>
      <c r="M9" s="91"/>
    </row>
    <row r="10" spans="1:13" s="6" customFormat="1" ht="5.25" customHeight="1">
      <c r="A10" s="407"/>
      <c r="C10" s="151"/>
      <c r="D10" s="7"/>
      <c r="E10" s="7"/>
      <c r="F10" s="7"/>
      <c r="G10" s="7"/>
      <c r="H10" s="7"/>
      <c r="I10" s="77"/>
      <c r="J10" s="78"/>
      <c r="K10" s="78"/>
      <c r="L10" s="93"/>
      <c r="M10" s="91"/>
    </row>
    <row r="11" spans="1:13" s="15" customFormat="1" ht="13.5" customHeight="1">
      <c r="A11" s="407"/>
      <c r="C11" s="142" t="s">
        <v>122</v>
      </c>
      <c r="D11" s="450" t="s">
        <v>36</v>
      </c>
      <c r="E11" s="450"/>
      <c r="F11" s="450"/>
      <c r="G11" s="450"/>
      <c r="H11" s="450"/>
      <c r="I11" s="17"/>
      <c r="J11" s="126"/>
      <c r="K11" s="126"/>
      <c r="L11" s="127"/>
      <c r="M11" s="95"/>
    </row>
    <row r="12" spans="1:13" s="79" customFormat="1" ht="12" customHeight="1">
      <c r="A12" s="407"/>
      <c r="C12" s="151"/>
      <c r="D12" s="447" t="s">
        <v>37</v>
      </c>
      <c r="E12" s="447"/>
      <c r="F12" s="447"/>
      <c r="G12" s="447"/>
      <c r="H12" s="447"/>
      <c r="I12" s="77">
        <f>I13+I14+I15</f>
        <v>2073937</v>
      </c>
      <c r="J12" s="77">
        <f>J13+J14+J15</f>
        <v>75840</v>
      </c>
      <c r="K12" s="77">
        <f>K13+K14+K15</f>
        <v>2149777</v>
      </c>
      <c r="L12" s="80"/>
      <c r="M12" s="82"/>
    </row>
    <row r="13" spans="1:12" s="82" customFormat="1" ht="11.25" customHeight="1">
      <c r="A13" s="407"/>
      <c r="C13" s="149"/>
      <c r="D13" s="446" t="s">
        <v>5</v>
      </c>
      <c r="E13" s="446"/>
      <c r="F13" s="446"/>
      <c r="G13" s="446"/>
      <c r="H13" s="446"/>
      <c r="I13" s="29">
        <f aca="true" t="shared" si="0" ref="I13:K15">I31+I49+I67</f>
        <v>1932437</v>
      </c>
      <c r="J13" s="29">
        <f t="shared" si="0"/>
        <v>75840</v>
      </c>
      <c r="K13" s="29">
        <f t="shared" si="0"/>
        <v>2008277</v>
      </c>
      <c r="L13" s="80"/>
    </row>
    <row r="14" spans="1:12" s="82" customFormat="1" ht="12.75" customHeight="1">
      <c r="A14" s="407"/>
      <c r="C14" s="149"/>
      <c r="D14" s="446" t="s">
        <v>6</v>
      </c>
      <c r="E14" s="446"/>
      <c r="F14" s="446"/>
      <c r="G14" s="446"/>
      <c r="H14" s="446"/>
      <c r="I14" s="29">
        <f t="shared" si="0"/>
        <v>141500</v>
      </c>
      <c r="J14" s="29">
        <f t="shared" si="0"/>
        <v>0</v>
      </c>
      <c r="K14" s="29">
        <f t="shared" si="0"/>
        <v>141500</v>
      </c>
      <c r="L14" s="80"/>
    </row>
    <row r="15" spans="1:12" s="82" customFormat="1" ht="13.5" customHeight="1" hidden="1">
      <c r="A15" s="407"/>
      <c r="C15" s="149"/>
      <c r="D15" s="446" t="s">
        <v>7</v>
      </c>
      <c r="E15" s="446"/>
      <c r="F15" s="446"/>
      <c r="G15" s="446"/>
      <c r="H15" s="446"/>
      <c r="I15" s="29">
        <f t="shared" si="0"/>
        <v>0</v>
      </c>
      <c r="J15" s="29">
        <f t="shared" si="0"/>
        <v>0</v>
      </c>
      <c r="K15" s="29">
        <f t="shared" si="0"/>
        <v>0</v>
      </c>
      <c r="L15" s="80"/>
    </row>
    <row r="16" spans="1:13" s="79" customFormat="1" ht="11.25" customHeight="1">
      <c r="A16" s="407"/>
      <c r="C16" s="151"/>
      <c r="D16" s="447" t="s">
        <v>38</v>
      </c>
      <c r="E16" s="447"/>
      <c r="F16" s="447"/>
      <c r="G16" s="447"/>
      <c r="H16" s="447"/>
      <c r="I16" s="253">
        <f>SUM(I17:I22)</f>
        <v>2063741</v>
      </c>
      <c r="J16" s="253">
        <f>SUM(J17:J22)</f>
        <v>75840</v>
      </c>
      <c r="K16" s="253">
        <f>SUM(K17:K22)</f>
        <v>2139581</v>
      </c>
      <c r="L16" s="80"/>
      <c r="M16" s="82"/>
    </row>
    <row r="17" spans="1:12" s="82" customFormat="1" ht="12.75" customHeight="1">
      <c r="A17" s="407"/>
      <c r="C17" s="149"/>
      <c r="D17" s="446" t="s">
        <v>289</v>
      </c>
      <c r="E17" s="446"/>
      <c r="F17" s="446"/>
      <c r="G17" s="446"/>
      <c r="H17" s="446"/>
      <c r="I17" s="29">
        <f aca="true" t="shared" si="1" ref="I17:K22">I35+I53+I71</f>
        <v>1307098</v>
      </c>
      <c r="J17" s="29">
        <f t="shared" si="1"/>
        <v>46800</v>
      </c>
      <c r="K17" s="29">
        <f t="shared" si="1"/>
        <v>1353898</v>
      </c>
      <c r="L17" s="80"/>
    </row>
    <row r="18" spans="1:12" s="33" customFormat="1" ht="12.75" customHeight="1">
      <c r="A18" s="410"/>
      <c r="C18" s="152"/>
      <c r="D18" s="444" t="s">
        <v>8</v>
      </c>
      <c r="E18" s="448"/>
      <c r="F18" s="448"/>
      <c r="G18" s="448"/>
      <c r="H18" s="448"/>
      <c r="I18" s="29">
        <f t="shared" si="1"/>
        <v>598747</v>
      </c>
      <c r="J18" s="29">
        <f t="shared" si="1"/>
        <v>34182</v>
      </c>
      <c r="K18" s="29">
        <f t="shared" si="1"/>
        <v>632929</v>
      </c>
      <c r="L18" s="175"/>
    </row>
    <row r="19" spans="1:12" s="33" customFormat="1" ht="12.75" customHeight="1">
      <c r="A19" s="410"/>
      <c r="C19" s="152"/>
      <c r="D19" s="444" t="s">
        <v>10</v>
      </c>
      <c r="E19" s="444"/>
      <c r="F19" s="444"/>
      <c r="G19" s="444"/>
      <c r="H19" s="444"/>
      <c r="I19" s="29">
        <f t="shared" si="1"/>
        <v>0</v>
      </c>
      <c r="J19" s="29">
        <f t="shared" si="1"/>
        <v>0</v>
      </c>
      <c r="K19" s="29">
        <f t="shared" si="1"/>
        <v>0</v>
      </c>
      <c r="L19" s="175"/>
    </row>
    <row r="20" spans="1:12" s="33" customFormat="1" ht="0.75" customHeight="1" hidden="1">
      <c r="A20" s="410"/>
      <c r="C20" s="152"/>
      <c r="D20" s="444" t="s">
        <v>9</v>
      </c>
      <c r="E20" s="444"/>
      <c r="F20" s="444"/>
      <c r="G20" s="444"/>
      <c r="H20" s="444"/>
      <c r="I20" s="29">
        <f t="shared" si="1"/>
        <v>2252</v>
      </c>
      <c r="J20" s="29">
        <f t="shared" si="1"/>
        <v>0</v>
      </c>
      <c r="K20" s="29">
        <f t="shared" si="1"/>
        <v>2252</v>
      </c>
      <c r="L20" s="175"/>
    </row>
    <row r="21" spans="1:12" s="33" customFormat="1" ht="12.75" customHeight="1">
      <c r="A21" s="410"/>
      <c r="C21" s="152"/>
      <c r="D21" s="444" t="s">
        <v>11</v>
      </c>
      <c r="E21" s="444"/>
      <c r="F21" s="444"/>
      <c r="G21" s="444"/>
      <c r="H21" s="444"/>
      <c r="I21" s="29">
        <f t="shared" si="1"/>
        <v>155134</v>
      </c>
      <c r="J21" s="29">
        <f t="shared" si="1"/>
        <v>-5142</v>
      </c>
      <c r="K21" s="29">
        <f t="shared" si="1"/>
        <v>149992</v>
      </c>
      <c r="L21" s="175"/>
    </row>
    <row r="22" spans="1:12" s="33" customFormat="1" ht="13.5" customHeight="1" hidden="1">
      <c r="A22" s="410"/>
      <c r="C22" s="152"/>
      <c r="D22" s="444" t="s">
        <v>12</v>
      </c>
      <c r="E22" s="444"/>
      <c r="F22" s="444"/>
      <c r="G22" s="444"/>
      <c r="H22" s="444"/>
      <c r="I22" s="29">
        <f t="shared" si="1"/>
        <v>510</v>
      </c>
      <c r="J22" s="29">
        <f t="shared" si="1"/>
        <v>0</v>
      </c>
      <c r="K22" s="29">
        <f t="shared" si="1"/>
        <v>510</v>
      </c>
      <c r="L22" s="175"/>
    </row>
    <row r="23" spans="1:13" s="79" customFormat="1" ht="12.75" customHeight="1">
      <c r="A23" s="407"/>
      <c r="C23" s="151"/>
      <c r="D23" s="445" t="s">
        <v>277</v>
      </c>
      <c r="E23" s="445"/>
      <c r="F23" s="445"/>
      <c r="G23" s="445"/>
      <c r="H23" s="445"/>
      <c r="I23" s="77">
        <f>I12-I16</f>
        <v>10196</v>
      </c>
      <c r="J23" s="77">
        <f>J12-J16</f>
        <v>0</v>
      </c>
      <c r="K23" s="77">
        <f>K12-K16</f>
        <v>10196</v>
      </c>
      <c r="L23" s="80"/>
      <c r="M23" s="82"/>
    </row>
    <row r="24" spans="1:12" s="82" customFormat="1" ht="13.5" customHeight="1">
      <c r="A24" s="407"/>
      <c r="C24" s="149"/>
      <c r="D24" s="444" t="s">
        <v>279</v>
      </c>
      <c r="E24" s="444"/>
      <c r="F24" s="444"/>
      <c r="G24" s="444"/>
      <c r="H24" s="444"/>
      <c r="I24" s="29">
        <f>I25+I26+I27</f>
        <v>-10196</v>
      </c>
      <c r="J24" s="29">
        <f>J25+J26+J27</f>
        <v>0</v>
      </c>
      <c r="K24" s="29">
        <f>K25+K26+K27</f>
        <v>-10196</v>
      </c>
      <c r="L24" s="80"/>
    </row>
    <row r="25" spans="1:12" s="82" customFormat="1" ht="12.75" customHeight="1">
      <c r="A25" s="407"/>
      <c r="C25" s="149"/>
      <c r="D25" s="444" t="s">
        <v>278</v>
      </c>
      <c r="E25" s="444"/>
      <c r="F25" s="444"/>
      <c r="G25" s="444"/>
      <c r="H25" s="444"/>
      <c r="I25" s="29">
        <f aca="true" t="shared" si="2" ref="I25:K27">I43+I61+I79</f>
        <v>9118</v>
      </c>
      <c r="J25" s="29">
        <f t="shared" si="2"/>
        <v>0</v>
      </c>
      <c r="K25" s="29">
        <f t="shared" si="2"/>
        <v>9118</v>
      </c>
      <c r="L25" s="80"/>
    </row>
    <row r="26" spans="1:12" s="82" customFormat="1" ht="13.5" customHeight="1" hidden="1">
      <c r="A26" s="407"/>
      <c r="C26" s="149"/>
      <c r="D26" s="444" t="s">
        <v>280</v>
      </c>
      <c r="E26" s="444"/>
      <c r="F26" s="444"/>
      <c r="G26" s="444"/>
      <c r="H26" s="444"/>
      <c r="I26" s="29">
        <f t="shared" si="2"/>
        <v>0</v>
      </c>
      <c r="J26" s="29">
        <f t="shared" si="2"/>
        <v>0</v>
      </c>
      <c r="K26" s="29">
        <f t="shared" si="2"/>
        <v>0</v>
      </c>
      <c r="L26" s="80"/>
    </row>
    <row r="27" spans="1:12" s="82" customFormat="1" ht="13.5" customHeight="1">
      <c r="A27" s="407"/>
      <c r="C27" s="149"/>
      <c r="D27" s="444" t="s">
        <v>281</v>
      </c>
      <c r="E27" s="444"/>
      <c r="F27" s="444"/>
      <c r="G27" s="444"/>
      <c r="H27" s="444"/>
      <c r="I27" s="29">
        <f t="shared" si="2"/>
        <v>-19314</v>
      </c>
      <c r="J27" s="29">
        <f t="shared" si="2"/>
        <v>0</v>
      </c>
      <c r="K27" s="29">
        <f t="shared" si="2"/>
        <v>-19314</v>
      </c>
      <c r="L27" s="80"/>
    </row>
    <row r="28" spans="1:12" s="82" customFormat="1" ht="7.5" customHeight="1">
      <c r="A28" s="407"/>
      <c r="C28" s="149"/>
      <c r="D28" s="444"/>
      <c r="E28" s="444"/>
      <c r="F28" s="444"/>
      <c r="G28" s="444"/>
      <c r="H28" s="444"/>
      <c r="I28" s="29"/>
      <c r="J28" s="29"/>
      <c r="K28" s="29"/>
      <c r="L28" s="80"/>
    </row>
    <row r="29" spans="1:12" s="95" customFormat="1" ht="13.5" customHeight="1">
      <c r="A29" s="407"/>
      <c r="C29" s="153" t="s">
        <v>122</v>
      </c>
      <c r="D29" s="449" t="s">
        <v>39</v>
      </c>
      <c r="E29" s="449"/>
      <c r="F29" s="449"/>
      <c r="G29" s="449"/>
      <c r="H29" s="449"/>
      <c r="I29" s="129"/>
      <c r="J29" s="127"/>
      <c r="K29" s="127"/>
      <c r="L29" s="127"/>
    </row>
    <row r="30" spans="1:13" s="79" customFormat="1" ht="13.5" customHeight="1">
      <c r="A30" s="407"/>
      <c r="C30" s="151"/>
      <c r="D30" s="447" t="s">
        <v>37</v>
      </c>
      <c r="E30" s="447"/>
      <c r="F30" s="447"/>
      <c r="G30" s="447"/>
      <c r="H30" s="447"/>
      <c r="I30" s="77">
        <f>SUM(I31:I33)</f>
        <v>1847387</v>
      </c>
      <c r="J30" s="77">
        <f>SUM(J31:J33)</f>
        <v>65840</v>
      </c>
      <c r="K30" s="77">
        <f>SUM(K31:K33)</f>
        <v>1913227</v>
      </c>
      <c r="L30" s="80"/>
      <c r="M30" s="82"/>
    </row>
    <row r="31" spans="1:12" s="82" customFormat="1" ht="13.5" customHeight="1">
      <c r="A31" s="407"/>
      <c r="C31" s="149"/>
      <c r="D31" s="446" t="s">
        <v>5</v>
      </c>
      <c r="E31" s="446"/>
      <c r="F31" s="446"/>
      <c r="G31" s="446"/>
      <c r="H31" s="446"/>
      <c r="I31" s="29">
        <f>1675259-53257+83885</f>
        <v>1705887</v>
      </c>
      <c r="J31" s="80">
        <f>64880+960</f>
        <v>65840</v>
      </c>
      <c r="K31" s="29">
        <f>SUM(I31:J31)</f>
        <v>1771727</v>
      </c>
      <c r="L31" s="80"/>
    </row>
    <row r="32" spans="1:12" s="82" customFormat="1" ht="12.75" customHeight="1">
      <c r="A32" s="407"/>
      <c r="C32" s="149"/>
      <c r="D32" s="446" t="s">
        <v>6</v>
      </c>
      <c r="E32" s="446"/>
      <c r="F32" s="446"/>
      <c r="G32" s="446"/>
      <c r="H32" s="446"/>
      <c r="I32" s="29">
        <v>141500</v>
      </c>
      <c r="J32" s="80"/>
      <c r="K32" s="29">
        <f>SUM(I32:J32)</f>
        <v>141500</v>
      </c>
      <c r="L32" s="80"/>
    </row>
    <row r="33" spans="1:13" s="79" customFormat="1" ht="13.5" customHeight="1" hidden="1">
      <c r="A33" s="407"/>
      <c r="C33" s="151"/>
      <c r="D33" s="446" t="s">
        <v>7</v>
      </c>
      <c r="E33" s="446"/>
      <c r="F33" s="446"/>
      <c r="G33" s="446"/>
      <c r="H33" s="446"/>
      <c r="I33" s="29"/>
      <c r="J33" s="29"/>
      <c r="K33" s="29">
        <f>SUM(I33:J33)</f>
        <v>0</v>
      </c>
      <c r="L33" s="80"/>
      <c r="M33" s="82"/>
    </row>
    <row r="34" spans="1:12" s="82" customFormat="1" ht="13.5" customHeight="1">
      <c r="A34" s="407"/>
      <c r="C34" s="149"/>
      <c r="D34" s="447" t="s">
        <v>38</v>
      </c>
      <c r="E34" s="447"/>
      <c r="F34" s="447"/>
      <c r="G34" s="447"/>
      <c r="H34" s="447"/>
      <c r="I34" s="254">
        <f>SUM(I35:I40)</f>
        <v>1837191</v>
      </c>
      <c r="J34" s="254">
        <f>SUM(J35:J40)</f>
        <v>65840</v>
      </c>
      <c r="K34" s="254">
        <f>SUM(K35:K40)</f>
        <v>1903031</v>
      </c>
      <c r="L34" s="80"/>
    </row>
    <row r="35" spans="1:12" s="33" customFormat="1" ht="12.75" customHeight="1">
      <c r="A35" s="410"/>
      <c r="C35" s="152"/>
      <c r="D35" s="446" t="s">
        <v>289</v>
      </c>
      <c r="E35" s="446"/>
      <c r="F35" s="446"/>
      <c r="G35" s="446"/>
      <c r="H35" s="446"/>
      <c r="I35" s="29">
        <f>1395769+4174-108354+12655</f>
        <v>1304244</v>
      </c>
      <c r="J35" s="80">
        <f>37921+8879</f>
        <v>46800</v>
      </c>
      <c r="K35" s="29">
        <f aca="true" t="shared" si="3" ref="K35:K40">SUM(I35:J35)</f>
        <v>1351044</v>
      </c>
      <c r="L35" s="175"/>
    </row>
    <row r="36" spans="1:12" s="82" customFormat="1" ht="13.5" customHeight="1">
      <c r="A36" s="407"/>
      <c r="C36" s="149"/>
      <c r="D36" s="444" t="s">
        <v>8</v>
      </c>
      <c r="E36" s="448"/>
      <c r="F36" s="448"/>
      <c r="G36" s="448"/>
      <c r="H36" s="448"/>
      <c r="I36" s="29">
        <f>231114+144500-22470+22417</f>
        <v>375561</v>
      </c>
      <c r="J36" s="80">
        <f>23222+960</f>
        <v>24182</v>
      </c>
      <c r="K36" s="29">
        <f t="shared" si="3"/>
        <v>399743</v>
      </c>
      <c r="L36" s="80"/>
    </row>
    <row r="37" spans="1:12" s="82" customFormat="1" ht="13.5" customHeight="1" hidden="1">
      <c r="A37" s="407"/>
      <c r="C37" s="149"/>
      <c r="D37" s="444" t="s">
        <v>10</v>
      </c>
      <c r="E37" s="444"/>
      <c r="F37" s="444"/>
      <c r="G37" s="444"/>
      <c r="H37" s="444"/>
      <c r="I37" s="29"/>
      <c r="J37" s="80"/>
      <c r="K37" s="29">
        <f t="shared" si="3"/>
        <v>0</v>
      </c>
      <c r="L37" s="80"/>
    </row>
    <row r="38" spans="1:12" s="82" customFormat="1" ht="12.75" customHeight="1">
      <c r="A38" s="407"/>
      <c r="C38" s="149"/>
      <c r="D38" s="444" t="s">
        <v>9</v>
      </c>
      <c r="E38" s="444"/>
      <c r="F38" s="444"/>
      <c r="G38" s="444"/>
      <c r="H38" s="444"/>
      <c r="I38" s="29">
        <v>2252</v>
      </c>
      <c r="J38" s="80"/>
      <c r="K38" s="29">
        <f t="shared" si="3"/>
        <v>2252</v>
      </c>
      <c r="L38" s="80"/>
    </row>
    <row r="39" spans="1:12" s="82" customFormat="1" ht="12.75" customHeight="1">
      <c r="A39" s="407"/>
      <c r="C39" s="149"/>
      <c r="D39" s="444" t="s">
        <v>11</v>
      </c>
      <c r="E39" s="444"/>
      <c r="F39" s="444"/>
      <c r="G39" s="444"/>
      <c r="H39" s="444"/>
      <c r="I39" s="29">
        <f>26810+1944+77567+48813</f>
        <v>155134</v>
      </c>
      <c r="J39" s="80">
        <v>-5142</v>
      </c>
      <c r="K39" s="29">
        <f t="shared" si="3"/>
        <v>149992</v>
      </c>
      <c r="L39" s="80"/>
    </row>
    <row r="40" spans="1:12" s="82" customFormat="1" ht="13.5" customHeight="1" hidden="1">
      <c r="A40" s="407"/>
      <c r="C40" s="149"/>
      <c r="D40" s="444" t="s">
        <v>12</v>
      </c>
      <c r="E40" s="444"/>
      <c r="F40" s="444"/>
      <c r="G40" s="444"/>
      <c r="H40" s="444"/>
      <c r="I40" s="29"/>
      <c r="J40" s="80"/>
      <c r="K40" s="29">
        <f t="shared" si="3"/>
        <v>0</v>
      </c>
      <c r="L40" s="80"/>
    </row>
    <row r="41" spans="1:13" s="79" customFormat="1" ht="13.5" customHeight="1">
      <c r="A41" s="407"/>
      <c r="C41" s="151"/>
      <c r="D41" s="445" t="s">
        <v>277</v>
      </c>
      <c r="E41" s="445"/>
      <c r="F41" s="445"/>
      <c r="G41" s="445"/>
      <c r="H41" s="445"/>
      <c r="I41" s="77">
        <f>I30-I34</f>
        <v>10196</v>
      </c>
      <c r="J41" s="77">
        <f>J30-J34</f>
        <v>0</v>
      </c>
      <c r="K41" s="77">
        <f>K30-K34</f>
        <v>10196</v>
      </c>
      <c r="L41" s="80"/>
      <c r="M41" s="82"/>
    </row>
    <row r="42" spans="1:12" s="82" customFormat="1" ht="13.5" customHeight="1">
      <c r="A42" s="407"/>
      <c r="C42" s="149"/>
      <c r="D42" s="444" t="s">
        <v>279</v>
      </c>
      <c r="E42" s="444"/>
      <c r="F42" s="444"/>
      <c r="G42" s="444"/>
      <c r="H42" s="444"/>
      <c r="I42" s="29">
        <f>I43+I44+I45</f>
        <v>-10196</v>
      </c>
      <c r="J42" s="29">
        <f>J43+J44+J45</f>
        <v>0</v>
      </c>
      <c r="K42" s="29">
        <f>K43+K44+K45</f>
        <v>-10196</v>
      </c>
      <c r="L42" s="80"/>
    </row>
    <row r="43" spans="1:12" s="82" customFormat="1" ht="12.75" customHeight="1">
      <c r="A43" s="407"/>
      <c r="C43" s="149"/>
      <c r="D43" s="444" t="s">
        <v>278</v>
      </c>
      <c r="E43" s="444"/>
      <c r="F43" s="444"/>
      <c r="G43" s="444"/>
      <c r="H43" s="444"/>
      <c r="I43" s="29">
        <v>9118</v>
      </c>
      <c r="J43" s="77"/>
      <c r="K43" s="80">
        <f>SUM(I43:J43)</f>
        <v>9118</v>
      </c>
      <c r="L43" s="80"/>
    </row>
    <row r="44" spans="1:12" s="82" customFormat="1" ht="13.5" customHeight="1" hidden="1">
      <c r="A44" s="407"/>
      <c r="C44" s="149"/>
      <c r="D44" s="444" t="s">
        <v>280</v>
      </c>
      <c r="E44" s="444"/>
      <c r="F44" s="444"/>
      <c r="G44" s="444"/>
      <c r="H44" s="444"/>
      <c r="I44" s="29"/>
      <c r="J44" s="77"/>
      <c r="K44" s="80">
        <f>SUM(I44:J44)</f>
        <v>0</v>
      </c>
      <c r="L44" s="80"/>
    </row>
    <row r="45" spans="1:12" s="82" customFormat="1" ht="13.5" customHeight="1">
      <c r="A45" s="407"/>
      <c r="C45" s="149"/>
      <c r="D45" s="444" t="s">
        <v>281</v>
      </c>
      <c r="E45" s="444"/>
      <c r="F45" s="444"/>
      <c r="G45" s="444"/>
      <c r="H45" s="444"/>
      <c r="I45" s="29">
        <v>-19314</v>
      </c>
      <c r="J45" s="77"/>
      <c r="K45" s="80">
        <f>SUM(I45:J45)</f>
        <v>-19314</v>
      </c>
      <c r="L45" s="80"/>
    </row>
    <row r="46" spans="1:12" s="82" customFormat="1" ht="6.75" customHeight="1">
      <c r="A46" s="407"/>
      <c r="C46" s="149"/>
      <c r="D46" s="85"/>
      <c r="E46" s="85"/>
      <c r="F46" s="85"/>
      <c r="G46" s="85"/>
      <c r="H46" s="85"/>
      <c r="I46" s="29"/>
      <c r="J46" s="80"/>
      <c r="K46" s="80"/>
      <c r="L46" s="80"/>
    </row>
    <row r="47" spans="1:12" s="132" customFormat="1" ht="13.5" customHeight="1">
      <c r="A47" s="411"/>
      <c r="C47" s="135" t="s">
        <v>122</v>
      </c>
      <c r="D47" s="436" t="s">
        <v>209</v>
      </c>
      <c r="E47" s="436"/>
      <c r="F47" s="436"/>
      <c r="G47" s="436"/>
      <c r="H47" s="436"/>
      <c r="I47" s="136"/>
      <c r="J47" s="131"/>
      <c r="K47" s="131"/>
      <c r="L47" s="131"/>
    </row>
    <row r="48" spans="1:13" s="79" customFormat="1" ht="13.5" customHeight="1">
      <c r="A48" s="407"/>
      <c r="C48" s="151"/>
      <c r="D48" s="447" t="s">
        <v>37</v>
      </c>
      <c r="E48" s="447"/>
      <c r="F48" s="447"/>
      <c r="G48" s="447"/>
      <c r="H48" s="447"/>
      <c r="I48" s="77">
        <f>SUM(I49:I51)</f>
        <v>52000</v>
      </c>
      <c r="J48" s="77">
        <f>SUM(J49:J51)</f>
        <v>10000</v>
      </c>
      <c r="K48" s="77">
        <f>SUM(K49:K51)</f>
        <v>62000</v>
      </c>
      <c r="L48" s="80"/>
      <c r="M48" s="82"/>
    </row>
    <row r="49" spans="1:13" s="79" customFormat="1" ht="13.5" customHeight="1">
      <c r="A49" s="407"/>
      <c r="C49" s="151"/>
      <c r="D49" s="446" t="s">
        <v>5</v>
      </c>
      <c r="E49" s="446"/>
      <c r="F49" s="446"/>
      <c r="G49" s="446"/>
      <c r="H49" s="446"/>
      <c r="I49" s="29">
        <v>52000</v>
      </c>
      <c r="J49" s="29">
        <v>10000</v>
      </c>
      <c r="K49" s="29">
        <f>SUM(I49:J49)</f>
        <v>62000</v>
      </c>
      <c r="L49" s="80"/>
      <c r="M49" s="82"/>
    </row>
    <row r="50" spans="1:13" s="79" customFormat="1" ht="13.5" customHeight="1" hidden="1">
      <c r="A50" s="407"/>
      <c r="C50" s="151"/>
      <c r="D50" s="446" t="s">
        <v>6</v>
      </c>
      <c r="E50" s="446"/>
      <c r="F50" s="446"/>
      <c r="G50" s="446"/>
      <c r="H50" s="446"/>
      <c r="I50" s="29"/>
      <c r="J50" s="77"/>
      <c r="K50" s="29">
        <f>SUM(I50:J50)</f>
        <v>0</v>
      </c>
      <c r="L50" s="80"/>
      <c r="M50" s="82"/>
    </row>
    <row r="51" spans="1:12" s="82" customFormat="1" ht="13.5" customHeight="1" hidden="1">
      <c r="A51" s="407"/>
      <c r="C51" s="149"/>
      <c r="D51" s="446" t="s">
        <v>7</v>
      </c>
      <c r="E51" s="446"/>
      <c r="F51" s="446"/>
      <c r="G51" s="446"/>
      <c r="H51" s="446"/>
      <c r="I51" s="29"/>
      <c r="J51" s="80"/>
      <c r="K51" s="29">
        <f>SUM(I51:J51)</f>
        <v>0</v>
      </c>
      <c r="L51" s="80"/>
    </row>
    <row r="52" spans="1:13" s="79" customFormat="1" ht="13.5" customHeight="1">
      <c r="A52" s="407"/>
      <c r="C52" s="151"/>
      <c r="D52" s="447" t="s">
        <v>38</v>
      </c>
      <c r="E52" s="447"/>
      <c r="F52" s="447"/>
      <c r="G52" s="447"/>
      <c r="H52" s="447"/>
      <c r="I52" s="254">
        <f>SUM(I53:I58)</f>
        <v>52000</v>
      </c>
      <c r="J52" s="254">
        <f>SUM(J53:J58)</f>
        <v>10000</v>
      </c>
      <c r="K52" s="254">
        <f>SUM(K53:K58)</f>
        <v>62000</v>
      </c>
      <c r="L52" s="80"/>
      <c r="M52" s="82"/>
    </row>
    <row r="53" spans="1:12" s="82" customFormat="1" ht="13.5" customHeight="1">
      <c r="A53" s="407"/>
      <c r="C53" s="149"/>
      <c r="D53" s="446" t="s">
        <v>289</v>
      </c>
      <c r="E53" s="446"/>
      <c r="F53" s="446"/>
      <c r="G53" s="446"/>
      <c r="H53" s="446"/>
      <c r="I53" s="29">
        <v>2854</v>
      </c>
      <c r="J53" s="80"/>
      <c r="K53" s="29">
        <f aca="true" t="shared" si="4" ref="K53:K58">SUM(I53:J53)</f>
        <v>2854</v>
      </c>
      <c r="L53" s="80"/>
    </row>
    <row r="54" spans="1:12" s="33" customFormat="1" ht="12.75" customHeight="1">
      <c r="A54" s="410"/>
      <c r="C54" s="152"/>
      <c r="D54" s="444" t="s">
        <v>8</v>
      </c>
      <c r="E54" s="448"/>
      <c r="F54" s="448"/>
      <c r="G54" s="448"/>
      <c r="H54" s="448"/>
      <c r="I54" s="29">
        <v>49146</v>
      </c>
      <c r="J54" s="80">
        <f>10000</f>
        <v>10000</v>
      </c>
      <c r="K54" s="29">
        <f t="shared" si="4"/>
        <v>59146</v>
      </c>
      <c r="L54" s="175"/>
    </row>
    <row r="55" spans="1:12" s="33" customFormat="1" ht="13.5" customHeight="1" hidden="1">
      <c r="A55" s="410"/>
      <c r="C55" s="152"/>
      <c r="D55" s="444" t="s">
        <v>10</v>
      </c>
      <c r="E55" s="444"/>
      <c r="F55" s="444"/>
      <c r="G55" s="444"/>
      <c r="H55" s="444"/>
      <c r="I55" s="29"/>
      <c r="J55" s="80"/>
      <c r="K55" s="29">
        <f t="shared" si="4"/>
        <v>0</v>
      </c>
      <c r="L55" s="175"/>
    </row>
    <row r="56" spans="1:12" s="33" customFormat="1" ht="13.5" customHeight="1" hidden="1">
      <c r="A56" s="410"/>
      <c r="C56" s="152"/>
      <c r="D56" s="444" t="s">
        <v>9</v>
      </c>
      <c r="E56" s="444"/>
      <c r="F56" s="444"/>
      <c r="G56" s="444"/>
      <c r="H56" s="444"/>
      <c r="I56" s="29"/>
      <c r="J56" s="80"/>
      <c r="K56" s="29">
        <f t="shared" si="4"/>
        <v>0</v>
      </c>
      <c r="L56" s="175"/>
    </row>
    <row r="57" spans="1:12" s="33" customFormat="1" ht="13.5" customHeight="1" hidden="1">
      <c r="A57" s="410"/>
      <c r="C57" s="152"/>
      <c r="D57" s="444" t="s">
        <v>11</v>
      </c>
      <c r="E57" s="444"/>
      <c r="F57" s="444"/>
      <c r="G57" s="444"/>
      <c r="H57" s="444"/>
      <c r="I57" s="29"/>
      <c r="J57" s="80"/>
      <c r="K57" s="29">
        <f t="shared" si="4"/>
        <v>0</v>
      </c>
      <c r="L57" s="175"/>
    </row>
    <row r="58" spans="1:12" s="33" customFormat="1" ht="13.5" customHeight="1" hidden="1">
      <c r="A58" s="410"/>
      <c r="C58" s="152"/>
      <c r="D58" s="444" t="s">
        <v>12</v>
      </c>
      <c r="E58" s="444"/>
      <c r="F58" s="444"/>
      <c r="G58" s="444"/>
      <c r="H58" s="444"/>
      <c r="I58" s="29"/>
      <c r="J58" s="80"/>
      <c r="K58" s="29">
        <f t="shared" si="4"/>
        <v>0</v>
      </c>
      <c r="L58" s="175"/>
    </row>
    <row r="59" spans="1:12" s="33" customFormat="1" ht="13.5" customHeight="1">
      <c r="A59" s="410"/>
      <c r="C59" s="152"/>
      <c r="D59" s="445" t="s">
        <v>277</v>
      </c>
      <c r="E59" s="445"/>
      <c r="F59" s="445"/>
      <c r="G59" s="445"/>
      <c r="H59" s="445"/>
      <c r="I59" s="77">
        <f>I48-I52</f>
        <v>0</v>
      </c>
      <c r="J59" s="77">
        <f>J48-J52</f>
        <v>0</v>
      </c>
      <c r="K59" s="77">
        <f>K48-K52</f>
        <v>0</v>
      </c>
      <c r="L59" s="175"/>
    </row>
    <row r="60" spans="1:12" s="33" customFormat="1" ht="12.75" customHeight="1">
      <c r="A60" s="410"/>
      <c r="C60" s="152"/>
      <c r="D60" s="444" t="s">
        <v>279</v>
      </c>
      <c r="E60" s="444"/>
      <c r="F60" s="444"/>
      <c r="G60" s="444"/>
      <c r="H60" s="444"/>
      <c r="I60" s="29">
        <f>I61+I62+I63</f>
        <v>0</v>
      </c>
      <c r="J60" s="29">
        <f>J61+J62+J63</f>
        <v>0</v>
      </c>
      <c r="K60" s="29">
        <f>K61+K62+K63</f>
        <v>0</v>
      </c>
      <c r="L60" s="175"/>
    </row>
    <row r="61" spans="1:12" s="33" customFormat="1" ht="13.5" customHeight="1" hidden="1">
      <c r="A61" s="410"/>
      <c r="C61" s="152"/>
      <c r="D61" s="444" t="s">
        <v>278</v>
      </c>
      <c r="E61" s="444"/>
      <c r="F61" s="444"/>
      <c r="G61" s="444"/>
      <c r="H61" s="444"/>
      <c r="I61" s="29"/>
      <c r="J61" s="77"/>
      <c r="K61" s="80">
        <f>SUM(I61:J61)</f>
        <v>0</v>
      </c>
      <c r="L61" s="175"/>
    </row>
    <row r="62" spans="1:12" s="33" customFormat="1" ht="13.5" customHeight="1" hidden="1">
      <c r="A62" s="410"/>
      <c r="C62" s="152"/>
      <c r="D62" s="444" t="s">
        <v>280</v>
      </c>
      <c r="E62" s="444"/>
      <c r="F62" s="444"/>
      <c r="G62" s="444"/>
      <c r="H62" s="444"/>
      <c r="I62" s="29"/>
      <c r="J62" s="77"/>
      <c r="K62" s="80">
        <f>SUM(I62:J62)</f>
        <v>0</v>
      </c>
      <c r="L62" s="175"/>
    </row>
    <row r="63" spans="1:12" s="33" customFormat="1" ht="13.5" customHeight="1" hidden="1">
      <c r="A63" s="410"/>
      <c r="C63" s="152"/>
      <c r="D63" s="444" t="s">
        <v>281</v>
      </c>
      <c r="E63" s="444"/>
      <c r="F63" s="444"/>
      <c r="G63" s="444"/>
      <c r="H63" s="444"/>
      <c r="I63" s="29"/>
      <c r="J63" s="77"/>
      <c r="K63" s="80">
        <f>SUM(I63:J63)</f>
        <v>0</v>
      </c>
      <c r="L63" s="175"/>
    </row>
    <row r="64" spans="1:12" s="33" customFormat="1" ht="9" customHeight="1">
      <c r="A64" s="410"/>
      <c r="C64" s="152"/>
      <c r="D64" s="85"/>
      <c r="E64" s="85"/>
      <c r="F64" s="85"/>
      <c r="G64" s="85"/>
      <c r="H64" s="85"/>
      <c r="I64" s="29"/>
      <c r="J64" s="80"/>
      <c r="K64" s="29"/>
      <c r="L64" s="175"/>
    </row>
    <row r="65" spans="1:13" s="99" customFormat="1" ht="13.5" customHeight="1">
      <c r="A65" s="411"/>
      <c r="C65" s="135" t="s">
        <v>122</v>
      </c>
      <c r="D65" s="436" t="s">
        <v>406</v>
      </c>
      <c r="E65" s="436"/>
      <c r="F65" s="436"/>
      <c r="G65" s="436"/>
      <c r="H65" s="436"/>
      <c r="I65" s="130"/>
      <c r="J65" s="137"/>
      <c r="K65" s="137"/>
      <c r="L65" s="131"/>
      <c r="M65" s="132"/>
    </row>
    <row r="66" spans="1:13" s="99" customFormat="1" ht="13.5" customHeight="1">
      <c r="A66" s="411"/>
      <c r="C66" s="96"/>
      <c r="D66" s="447" t="s">
        <v>37</v>
      </c>
      <c r="E66" s="447"/>
      <c r="F66" s="447"/>
      <c r="G66" s="447"/>
      <c r="H66" s="447"/>
      <c r="I66" s="77">
        <f>SUM(I67:I69)</f>
        <v>174550</v>
      </c>
      <c r="J66" s="77">
        <f>SUM(J67:J69)</f>
        <v>0</v>
      </c>
      <c r="K66" s="77">
        <f>SUM(K67:K69)</f>
        <v>174550</v>
      </c>
      <c r="L66" s="131"/>
      <c r="M66" s="132"/>
    </row>
    <row r="67" spans="1:13" s="99" customFormat="1" ht="12.75" customHeight="1">
      <c r="A67" s="411"/>
      <c r="C67" s="96"/>
      <c r="D67" s="446" t="s">
        <v>5</v>
      </c>
      <c r="E67" s="446"/>
      <c r="F67" s="446"/>
      <c r="G67" s="446"/>
      <c r="H67" s="446"/>
      <c r="I67" s="29">
        <f>174000+550</f>
        <v>174550</v>
      </c>
      <c r="J67" s="98"/>
      <c r="K67" s="98">
        <f>SUM(I67:J67)</f>
        <v>174550</v>
      </c>
      <c r="L67" s="131"/>
      <c r="M67" s="132"/>
    </row>
    <row r="68" spans="1:13" s="99" customFormat="1" ht="13.5" customHeight="1" hidden="1">
      <c r="A68" s="411"/>
      <c r="C68" s="96"/>
      <c r="D68" s="446" t="s">
        <v>6</v>
      </c>
      <c r="E68" s="446"/>
      <c r="F68" s="446"/>
      <c r="G68" s="446"/>
      <c r="H68" s="446"/>
      <c r="I68" s="29"/>
      <c r="J68" s="115"/>
      <c r="K68" s="98">
        <f>SUM(I68:J68)</f>
        <v>0</v>
      </c>
      <c r="L68" s="131"/>
      <c r="M68" s="132"/>
    </row>
    <row r="69" spans="1:13" s="99" customFormat="1" ht="13.5" customHeight="1" hidden="1">
      <c r="A69" s="411"/>
      <c r="C69" s="96"/>
      <c r="D69" s="446" t="s">
        <v>7</v>
      </c>
      <c r="E69" s="446"/>
      <c r="F69" s="446"/>
      <c r="G69" s="446"/>
      <c r="H69" s="446"/>
      <c r="I69" s="29"/>
      <c r="J69" s="115"/>
      <c r="K69" s="98">
        <f>SUM(I69:J69)</f>
        <v>0</v>
      </c>
      <c r="L69" s="131"/>
      <c r="M69" s="132"/>
    </row>
    <row r="70" spans="1:13" s="99" customFormat="1" ht="12.75" customHeight="1">
      <c r="A70" s="411"/>
      <c r="C70" s="96"/>
      <c r="D70" s="447" t="s">
        <v>38</v>
      </c>
      <c r="E70" s="447"/>
      <c r="F70" s="447"/>
      <c r="G70" s="447"/>
      <c r="H70" s="447"/>
      <c r="I70" s="254">
        <f>SUM(I71:I76)</f>
        <v>174550</v>
      </c>
      <c r="J70" s="254">
        <f>SUM(J71:J76)</f>
        <v>0</v>
      </c>
      <c r="K70" s="254">
        <f>SUM(K71:K76)</f>
        <v>174550</v>
      </c>
      <c r="L70" s="131"/>
      <c r="M70" s="132"/>
    </row>
    <row r="71" spans="1:13" s="99" customFormat="1" ht="1.5" customHeight="1" hidden="1">
      <c r="A71" s="411"/>
      <c r="C71" s="96"/>
      <c r="D71" s="446" t="s">
        <v>289</v>
      </c>
      <c r="E71" s="446"/>
      <c r="F71" s="446"/>
      <c r="G71" s="446"/>
      <c r="H71" s="446"/>
      <c r="I71" s="29"/>
      <c r="J71" s="98"/>
      <c r="K71" s="98">
        <f aca="true" t="shared" si="5" ref="K71:K76">SUM(I71:J71)</f>
        <v>0</v>
      </c>
      <c r="L71" s="131"/>
      <c r="M71" s="132"/>
    </row>
    <row r="72" spans="1:13" s="99" customFormat="1" ht="11.25" customHeight="1">
      <c r="A72" s="411"/>
      <c r="C72" s="96"/>
      <c r="D72" s="444" t="s">
        <v>8</v>
      </c>
      <c r="E72" s="448"/>
      <c r="F72" s="448"/>
      <c r="G72" s="448"/>
      <c r="H72" s="448"/>
      <c r="I72" s="29">
        <f>174000+40</f>
        <v>174040</v>
      </c>
      <c r="J72" s="98"/>
      <c r="K72" s="98">
        <f t="shared" si="5"/>
        <v>174040</v>
      </c>
      <c r="L72" s="131"/>
      <c r="M72" s="132"/>
    </row>
    <row r="73" spans="1:13" s="99" customFormat="1" ht="13.5" customHeight="1" hidden="1">
      <c r="A73" s="411"/>
      <c r="C73" s="96"/>
      <c r="D73" s="444" t="s">
        <v>10</v>
      </c>
      <c r="E73" s="444"/>
      <c r="F73" s="444"/>
      <c r="G73" s="444"/>
      <c r="H73" s="444"/>
      <c r="I73" s="29">
        <v>0</v>
      </c>
      <c r="J73" s="98"/>
      <c r="K73" s="98">
        <f t="shared" si="5"/>
        <v>0</v>
      </c>
      <c r="L73" s="131"/>
      <c r="M73" s="132"/>
    </row>
    <row r="74" spans="1:13" s="79" customFormat="1" ht="13.5" customHeight="1" hidden="1">
      <c r="A74" s="407"/>
      <c r="C74" s="151"/>
      <c r="D74" s="444" t="s">
        <v>9</v>
      </c>
      <c r="E74" s="444"/>
      <c r="F74" s="444"/>
      <c r="G74" s="444"/>
      <c r="H74" s="444"/>
      <c r="I74" s="29"/>
      <c r="J74" s="77"/>
      <c r="K74" s="98">
        <f t="shared" si="5"/>
        <v>0</v>
      </c>
      <c r="L74" s="80"/>
      <c r="M74" s="82"/>
    </row>
    <row r="75" spans="1:12" s="82" customFormat="1" ht="13.5" customHeight="1" hidden="1">
      <c r="A75" s="407"/>
      <c r="C75" s="149"/>
      <c r="D75" s="444" t="s">
        <v>11</v>
      </c>
      <c r="E75" s="444"/>
      <c r="F75" s="444"/>
      <c r="G75" s="444"/>
      <c r="H75" s="444"/>
      <c r="I75" s="29"/>
      <c r="J75" s="80"/>
      <c r="K75" s="98">
        <f t="shared" si="5"/>
        <v>0</v>
      </c>
      <c r="L75" s="80"/>
    </row>
    <row r="76" spans="1:13" s="79" customFormat="1" ht="12.75" customHeight="1">
      <c r="A76" s="407"/>
      <c r="C76" s="151"/>
      <c r="D76" s="444" t="s">
        <v>12</v>
      </c>
      <c r="E76" s="444"/>
      <c r="F76" s="444"/>
      <c r="G76" s="444"/>
      <c r="H76" s="444"/>
      <c r="I76" s="29">
        <v>510</v>
      </c>
      <c r="J76" s="77"/>
      <c r="K76" s="98">
        <f t="shared" si="5"/>
        <v>510</v>
      </c>
      <c r="L76" s="80"/>
      <c r="M76" s="82"/>
    </row>
    <row r="77" spans="1:13" s="79" customFormat="1" ht="13.5" customHeight="1">
      <c r="A77" s="407"/>
      <c r="C77" s="151"/>
      <c r="D77" s="445" t="s">
        <v>277</v>
      </c>
      <c r="E77" s="445"/>
      <c r="F77" s="445"/>
      <c r="G77" s="445"/>
      <c r="H77" s="445"/>
      <c r="I77" s="77">
        <f>I66-I70</f>
        <v>0</v>
      </c>
      <c r="J77" s="77">
        <f>J66-J70</f>
        <v>0</v>
      </c>
      <c r="K77" s="77">
        <f>K66-K70</f>
        <v>0</v>
      </c>
      <c r="L77" s="80"/>
      <c r="M77" s="82"/>
    </row>
    <row r="78" spans="1:13" s="79" customFormat="1" ht="12.75" customHeight="1">
      <c r="A78" s="407"/>
      <c r="C78" s="151"/>
      <c r="D78" s="444" t="s">
        <v>279</v>
      </c>
      <c r="E78" s="444"/>
      <c r="F78" s="444"/>
      <c r="G78" s="444"/>
      <c r="H78" s="444"/>
      <c r="I78" s="29">
        <f>I79+I80+I81</f>
        <v>0</v>
      </c>
      <c r="J78" s="29">
        <f>J79+J80+J81</f>
        <v>0</v>
      </c>
      <c r="K78" s="29">
        <f>K79+K80+K81</f>
        <v>0</v>
      </c>
      <c r="L78" s="80"/>
      <c r="M78" s="82"/>
    </row>
    <row r="79" spans="1:13" s="79" customFormat="1" ht="13.5" customHeight="1" hidden="1">
      <c r="A79" s="407"/>
      <c r="C79" s="151"/>
      <c r="D79" s="444" t="s">
        <v>278</v>
      </c>
      <c r="E79" s="444"/>
      <c r="F79" s="444"/>
      <c r="G79" s="444"/>
      <c r="H79" s="444"/>
      <c r="I79" s="29"/>
      <c r="J79" s="77"/>
      <c r="K79" s="80">
        <f>SUM(I79:J79)</f>
        <v>0</v>
      </c>
      <c r="L79" s="80"/>
      <c r="M79" s="82"/>
    </row>
    <row r="80" spans="1:13" s="79" customFormat="1" ht="13.5" customHeight="1" hidden="1">
      <c r="A80" s="407"/>
      <c r="C80" s="151"/>
      <c r="D80" s="444" t="s">
        <v>280</v>
      </c>
      <c r="E80" s="444"/>
      <c r="F80" s="444"/>
      <c r="G80" s="444"/>
      <c r="H80" s="444"/>
      <c r="I80" s="29"/>
      <c r="J80" s="77"/>
      <c r="K80" s="80">
        <f>SUM(I80:J80)</f>
        <v>0</v>
      </c>
      <c r="L80" s="80"/>
      <c r="M80" s="82"/>
    </row>
    <row r="81" spans="1:13" s="79" customFormat="1" ht="13.5" customHeight="1" hidden="1">
      <c r="A81" s="407"/>
      <c r="C81" s="151"/>
      <c r="D81" s="444" t="s">
        <v>281</v>
      </c>
      <c r="E81" s="444"/>
      <c r="F81" s="444"/>
      <c r="G81" s="444"/>
      <c r="H81" s="444"/>
      <c r="I81" s="29"/>
      <c r="J81" s="77"/>
      <c r="K81" s="80">
        <f>SUM(I81:J81)</f>
        <v>0</v>
      </c>
      <c r="L81" s="80"/>
      <c r="M81" s="82"/>
    </row>
    <row r="82" spans="1:13" s="79" customFormat="1" ht="7.5" customHeight="1" hidden="1">
      <c r="A82" s="407"/>
      <c r="C82" s="151"/>
      <c r="D82" s="85"/>
      <c r="E82" s="85"/>
      <c r="F82" s="85"/>
      <c r="G82" s="85"/>
      <c r="H82" s="85"/>
      <c r="I82" s="29"/>
      <c r="J82" s="77"/>
      <c r="K82" s="98"/>
      <c r="L82" s="80"/>
      <c r="M82" s="82"/>
    </row>
    <row r="83" spans="1:13" s="79" customFormat="1" ht="13.5" customHeight="1" hidden="1">
      <c r="A83" s="407"/>
      <c r="C83" s="151"/>
      <c r="D83" s="85"/>
      <c r="E83" s="85"/>
      <c r="F83" s="85"/>
      <c r="G83" s="85"/>
      <c r="H83" s="85"/>
      <c r="I83" s="29"/>
      <c r="J83" s="77"/>
      <c r="K83" s="77"/>
      <c r="L83" s="80"/>
      <c r="M83" s="82"/>
    </row>
    <row r="84" spans="1:12" s="95" customFormat="1" ht="13.5" customHeight="1" hidden="1">
      <c r="A84" s="407"/>
      <c r="C84" s="159" t="s">
        <v>83</v>
      </c>
      <c r="D84" s="450" t="s">
        <v>0</v>
      </c>
      <c r="E84" s="450"/>
      <c r="F84" s="450"/>
      <c r="G84" s="450"/>
      <c r="H84" s="450"/>
      <c r="I84" s="129"/>
      <c r="J84" s="127"/>
      <c r="K84" s="127"/>
      <c r="L84" s="127"/>
    </row>
    <row r="85" spans="1:12" s="82" customFormat="1" ht="13.5" customHeight="1" hidden="1">
      <c r="A85" s="407"/>
      <c r="C85" s="154"/>
      <c r="D85" s="447" t="s">
        <v>37</v>
      </c>
      <c r="E85" s="447"/>
      <c r="F85" s="447"/>
      <c r="G85" s="447"/>
      <c r="H85" s="447"/>
      <c r="I85" s="77">
        <f>SUM(I86:I88)</f>
        <v>0</v>
      </c>
      <c r="J85" s="77">
        <f>SUM(J86:J88)</f>
        <v>0</v>
      </c>
      <c r="K85" s="77">
        <f>SUM(K86:K88)</f>
        <v>0</v>
      </c>
      <c r="L85" s="80"/>
    </row>
    <row r="86" spans="1:12" s="82" customFormat="1" ht="13.5" customHeight="1" hidden="1">
      <c r="A86" s="407"/>
      <c r="C86" s="154"/>
      <c r="D86" s="446" t="s">
        <v>5</v>
      </c>
      <c r="E86" s="446"/>
      <c r="F86" s="446"/>
      <c r="G86" s="446"/>
      <c r="H86" s="446"/>
      <c r="I86" s="29"/>
      <c r="J86" s="80"/>
      <c r="K86" s="80">
        <f>SUM(I86:J86)</f>
        <v>0</v>
      </c>
      <c r="L86" s="80"/>
    </row>
    <row r="87" spans="1:12" s="82" customFormat="1" ht="13.5" customHeight="1" hidden="1">
      <c r="A87" s="407"/>
      <c r="C87" s="154"/>
      <c r="D87" s="446" t="s">
        <v>6</v>
      </c>
      <c r="E87" s="446"/>
      <c r="F87" s="446"/>
      <c r="G87" s="446"/>
      <c r="H87" s="446"/>
      <c r="I87" s="29"/>
      <c r="J87" s="80"/>
      <c r="K87" s="80">
        <f>SUM(I87:J87)</f>
        <v>0</v>
      </c>
      <c r="L87" s="80"/>
    </row>
    <row r="88" spans="1:12" s="82" customFormat="1" ht="13.5" customHeight="1" hidden="1">
      <c r="A88" s="407"/>
      <c r="C88" s="154"/>
      <c r="D88" s="446" t="s">
        <v>7</v>
      </c>
      <c r="E88" s="446"/>
      <c r="F88" s="446"/>
      <c r="G88" s="446"/>
      <c r="H88" s="446"/>
      <c r="I88" s="29"/>
      <c r="J88" s="80"/>
      <c r="K88" s="80">
        <f>SUM(I88:J88)</f>
        <v>0</v>
      </c>
      <c r="L88" s="80"/>
    </row>
    <row r="89" spans="1:12" s="82" customFormat="1" ht="13.5" customHeight="1" hidden="1">
      <c r="A89" s="407"/>
      <c r="C89" s="154"/>
      <c r="D89" s="447" t="s">
        <v>38</v>
      </c>
      <c r="E89" s="447"/>
      <c r="F89" s="447"/>
      <c r="G89" s="447"/>
      <c r="H89" s="447"/>
      <c r="I89" s="253">
        <f>SUM(I90:I95)</f>
        <v>0</v>
      </c>
      <c r="J89" s="253">
        <f>SUM(J90:J95)</f>
        <v>0</v>
      </c>
      <c r="K89" s="253">
        <f>SUM(K90:K95)</f>
        <v>0</v>
      </c>
      <c r="L89" s="80"/>
    </row>
    <row r="90" spans="1:12" s="82" customFormat="1" ht="13.5" customHeight="1" hidden="1">
      <c r="A90" s="407"/>
      <c r="C90" s="154"/>
      <c r="D90" s="446" t="s">
        <v>289</v>
      </c>
      <c r="E90" s="446"/>
      <c r="F90" s="446"/>
      <c r="G90" s="446"/>
      <c r="H90" s="446"/>
      <c r="I90" s="29"/>
      <c r="J90" s="80"/>
      <c r="K90" s="80">
        <f aca="true" t="shared" si="6" ref="K90:K95">SUM(I90:J90)</f>
        <v>0</v>
      </c>
      <c r="L90" s="80"/>
    </row>
    <row r="91" spans="1:12" s="82" customFormat="1" ht="13.5" customHeight="1" hidden="1">
      <c r="A91" s="407"/>
      <c r="C91" s="154"/>
      <c r="D91" s="444" t="s">
        <v>8</v>
      </c>
      <c r="E91" s="448"/>
      <c r="F91" s="448"/>
      <c r="G91" s="448"/>
      <c r="H91" s="448"/>
      <c r="I91" s="29"/>
      <c r="J91" s="80"/>
      <c r="K91" s="80">
        <f t="shared" si="6"/>
        <v>0</v>
      </c>
      <c r="L91" s="80"/>
    </row>
    <row r="92" spans="1:12" s="82" customFormat="1" ht="13.5" customHeight="1" hidden="1">
      <c r="A92" s="407"/>
      <c r="C92" s="154"/>
      <c r="D92" s="444" t="s">
        <v>10</v>
      </c>
      <c r="E92" s="444"/>
      <c r="F92" s="444"/>
      <c r="G92" s="444"/>
      <c r="H92" s="444"/>
      <c r="I92" s="29"/>
      <c r="J92" s="80"/>
      <c r="K92" s="80">
        <f t="shared" si="6"/>
        <v>0</v>
      </c>
      <c r="L92" s="80"/>
    </row>
    <row r="93" spans="1:12" s="82" customFormat="1" ht="13.5" customHeight="1" hidden="1">
      <c r="A93" s="407"/>
      <c r="C93" s="151"/>
      <c r="D93" s="444" t="s">
        <v>9</v>
      </c>
      <c r="E93" s="444"/>
      <c r="F93" s="444"/>
      <c r="G93" s="444"/>
      <c r="H93" s="444"/>
      <c r="I93" s="29"/>
      <c r="J93" s="80"/>
      <c r="K93" s="80">
        <f t="shared" si="6"/>
        <v>0</v>
      </c>
      <c r="L93" s="80"/>
    </row>
    <row r="94" spans="1:12" s="82" customFormat="1" ht="13.5" customHeight="1" hidden="1">
      <c r="A94" s="407"/>
      <c r="C94" s="149"/>
      <c r="D94" s="444" t="s">
        <v>11</v>
      </c>
      <c r="E94" s="444"/>
      <c r="F94" s="444"/>
      <c r="G94" s="444"/>
      <c r="H94" s="444"/>
      <c r="I94" s="29"/>
      <c r="J94" s="80"/>
      <c r="K94" s="80">
        <f t="shared" si="6"/>
        <v>0</v>
      </c>
      <c r="L94" s="80"/>
    </row>
    <row r="95" spans="1:12" s="82" customFormat="1" ht="13.5" customHeight="1" hidden="1">
      <c r="A95" s="407"/>
      <c r="C95" s="151"/>
      <c r="D95" s="444" t="s">
        <v>12</v>
      </c>
      <c r="E95" s="444"/>
      <c r="F95" s="444"/>
      <c r="G95" s="444"/>
      <c r="H95" s="444"/>
      <c r="I95" s="29"/>
      <c r="J95" s="80"/>
      <c r="K95" s="80">
        <f t="shared" si="6"/>
        <v>0</v>
      </c>
      <c r="L95" s="80"/>
    </row>
    <row r="96" spans="1:12" s="82" customFormat="1" ht="13.5" customHeight="1" hidden="1">
      <c r="A96" s="407"/>
      <c r="C96" s="151"/>
      <c r="D96" s="445" t="s">
        <v>277</v>
      </c>
      <c r="E96" s="445"/>
      <c r="F96" s="445"/>
      <c r="G96" s="445"/>
      <c r="H96" s="445"/>
      <c r="I96" s="77">
        <f>I85-I89</f>
        <v>0</v>
      </c>
      <c r="J96" s="77">
        <f>J85-J89</f>
        <v>0</v>
      </c>
      <c r="K96" s="77">
        <f>K85-K89</f>
        <v>0</v>
      </c>
      <c r="L96" s="80"/>
    </row>
    <row r="97" spans="1:12" s="82" customFormat="1" ht="13.5" customHeight="1" hidden="1">
      <c r="A97" s="407"/>
      <c r="C97" s="151"/>
      <c r="D97" s="444" t="s">
        <v>279</v>
      </c>
      <c r="E97" s="444"/>
      <c r="F97" s="444"/>
      <c r="G97" s="444"/>
      <c r="H97" s="444"/>
      <c r="I97" s="29">
        <f>I98+I99+I100</f>
        <v>0</v>
      </c>
      <c r="J97" s="29">
        <f>J98+J99+J100</f>
        <v>0</v>
      </c>
      <c r="K97" s="29">
        <f>K98+K99+K100</f>
        <v>0</v>
      </c>
      <c r="L97" s="80"/>
    </row>
    <row r="98" spans="1:12" s="82" customFormat="1" ht="13.5" customHeight="1" hidden="1">
      <c r="A98" s="407"/>
      <c r="C98" s="151"/>
      <c r="D98" s="444" t="s">
        <v>278</v>
      </c>
      <c r="E98" s="444"/>
      <c r="F98" s="444"/>
      <c r="G98" s="444"/>
      <c r="H98" s="444"/>
      <c r="I98" s="29"/>
      <c r="J98" s="77"/>
      <c r="K98" s="80">
        <f>SUM(I98:J98)</f>
        <v>0</v>
      </c>
      <c r="L98" s="80"/>
    </row>
    <row r="99" spans="1:12" s="82" customFormat="1" ht="13.5" customHeight="1" hidden="1">
      <c r="A99" s="407"/>
      <c r="C99" s="151"/>
      <c r="D99" s="444" t="s">
        <v>280</v>
      </c>
      <c r="E99" s="444"/>
      <c r="F99" s="444"/>
      <c r="G99" s="444"/>
      <c r="H99" s="444"/>
      <c r="I99" s="29"/>
      <c r="J99" s="77"/>
      <c r="K99" s="80">
        <f>SUM(I99:J99)</f>
        <v>0</v>
      </c>
      <c r="L99" s="80"/>
    </row>
    <row r="100" spans="1:12" s="82" customFormat="1" ht="13.5" customHeight="1" hidden="1">
      <c r="A100" s="407"/>
      <c r="C100" s="151"/>
      <c r="D100" s="444" t="s">
        <v>281</v>
      </c>
      <c r="E100" s="444"/>
      <c r="F100" s="444"/>
      <c r="G100" s="444"/>
      <c r="H100" s="444"/>
      <c r="I100" s="29"/>
      <c r="J100" s="77"/>
      <c r="K100" s="80">
        <f>SUM(I100:J100)</f>
        <v>0</v>
      </c>
      <c r="L100" s="80"/>
    </row>
    <row r="101" spans="1:12" s="82" customFormat="1" ht="13.5" customHeight="1" hidden="1">
      <c r="A101" s="407"/>
      <c r="C101" s="151"/>
      <c r="D101" s="85"/>
      <c r="E101" s="85"/>
      <c r="F101" s="85"/>
      <c r="G101" s="85"/>
      <c r="H101" s="85"/>
      <c r="I101" s="29"/>
      <c r="J101" s="80"/>
      <c r="K101" s="80"/>
      <c r="L101" s="80"/>
    </row>
    <row r="102" spans="1:12" s="82" customFormat="1" ht="8.25" customHeight="1">
      <c r="A102" s="407"/>
      <c r="C102" s="151"/>
      <c r="D102" s="85"/>
      <c r="E102" s="85"/>
      <c r="F102" s="85"/>
      <c r="G102" s="85"/>
      <c r="H102" s="85"/>
      <c r="I102" s="29"/>
      <c r="J102" s="80"/>
      <c r="K102" s="80"/>
      <c r="L102" s="80"/>
    </row>
    <row r="103" spans="1:12" s="95" customFormat="1" ht="13.5" customHeight="1">
      <c r="A103" s="407"/>
      <c r="C103" s="142" t="s">
        <v>83</v>
      </c>
      <c r="D103" s="450" t="s">
        <v>273</v>
      </c>
      <c r="E103" s="450"/>
      <c r="F103" s="450"/>
      <c r="G103" s="450"/>
      <c r="H103" s="450"/>
      <c r="I103" s="129"/>
      <c r="J103" s="127"/>
      <c r="K103" s="127"/>
      <c r="L103" s="127"/>
    </row>
    <row r="104" spans="1:12" s="82" customFormat="1" ht="13.5" customHeight="1">
      <c r="A104" s="407"/>
      <c r="C104" s="154"/>
      <c r="D104" s="447" t="s">
        <v>37</v>
      </c>
      <c r="E104" s="447"/>
      <c r="F104" s="447"/>
      <c r="G104" s="447"/>
      <c r="H104" s="447"/>
      <c r="I104" s="77">
        <f>I105+I111+I112</f>
        <v>46445</v>
      </c>
      <c r="J104" s="77">
        <f>J105+J111+J112</f>
        <v>0</v>
      </c>
      <c r="K104" s="77">
        <f>K105+K111+K112</f>
        <v>46445</v>
      </c>
      <c r="L104" s="80"/>
    </row>
    <row r="105" spans="1:12" s="82" customFormat="1" ht="13.5" customHeight="1">
      <c r="A105" s="407"/>
      <c r="C105" s="154"/>
      <c r="D105" s="446" t="s">
        <v>5</v>
      </c>
      <c r="E105" s="446"/>
      <c r="F105" s="446"/>
      <c r="G105" s="446"/>
      <c r="H105" s="446"/>
      <c r="I105" s="29">
        <f>I106+I107+I110+I109+I108</f>
        <v>46445</v>
      </c>
      <c r="J105" s="29">
        <f>J106+J107+J110+J109+J108</f>
        <v>0</v>
      </c>
      <c r="K105" s="29">
        <f>K106+K107+K110+K109+K108</f>
        <v>46445</v>
      </c>
      <c r="L105" s="80"/>
    </row>
    <row r="106" spans="1:12" s="33" customFormat="1" ht="13.5" customHeight="1">
      <c r="A106" s="410"/>
      <c r="C106" s="173"/>
      <c r="D106" s="34"/>
      <c r="E106" s="438" t="s">
        <v>274</v>
      </c>
      <c r="F106" s="438"/>
      <c r="G106" s="438"/>
      <c r="H106" s="438"/>
      <c r="I106" s="174">
        <v>31045</v>
      </c>
      <c r="J106" s="175"/>
      <c r="K106" s="175">
        <f aca="true" t="shared" si="7" ref="K106:K112">SUM(I106:J106)</f>
        <v>31045</v>
      </c>
      <c r="L106" s="175"/>
    </row>
    <row r="107" spans="1:12" s="33" customFormat="1" ht="13.5" customHeight="1">
      <c r="A107" s="410"/>
      <c r="C107" s="173"/>
      <c r="D107" s="34"/>
      <c r="E107" s="438" t="s">
        <v>275</v>
      </c>
      <c r="F107" s="438"/>
      <c r="G107" s="438"/>
      <c r="H107" s="438"/>
      <c r="I107" s="174">
        <f>11700+1300</f>
        <v>13000</v>
      </c>
      <c r="J107" s="175"/>
      <c r="K107" s="175">
        <f t="shared" si="7"/>
        <v>13000</v>
      </c>
      <c r="L107" s="175"/>
    </row>
    <row r="108" spans="1:12" s="33" customFormat="1" ht="12.75" customHeight="1">
      <c r="A108" s="410"/>
      <c r="C108" s="173"/>
      <c r="D108" s="34"/>
      <c r="E108" s="438" t="s">
        <v>570</v>
      </c>
      <c r="F108" s="438"/>
      <c r="G108" s="438"/>
      <c r="H108" s="438"/>
      <c r="I108" s="174">
        <f>1400</f>
        <v>1400</v>
      </c>
      <c r="J108" s="175"/>
      <c r="K108" s="175">
        <f t="shared" si="7"/>
        <v>1400</v>
      </c>
      <c r="L108" s="175"/>
    </row>
    <row r="109" spans="1:12" s="33" customFormat="1" ht="13.5" customHeight="1">
      <c r="A109" s="410"/>
      <c r="C109" s="173"/>
      <c r="D109" s="34"/>
      <c r="E109" s="438" t="s">
        <v>407</v>
      </c>
      <c r="F109" s="438"/>
      <c r="G109" s="438"/>
      <c r="H109" s="438"/>
      <c r="I109" s="174">
        <v>500</v>
      </c>
      <c r="J109" s="175"/>
      <c r="K109" s="175">
        <f t="shared" si="7"/>
        <v>500</v>
      </c>
      <c r="L109" s="175"/>
    </row>
    <row r="110" spans="1:12" s="33" customFormat="1" ht="12" customHeight="1">
      <c r="A110" s="410"/>
      <c r="C110" s="173"/>
      <c r="D110" s="34"/>
      <c r="E110" s="438" t="s">
        <v>276</v>
      </c>
      <c r="F110" s="438"/>
      <c r="G110" s="438"/>
      <c r="H110" s="438"/>
      <c r="I110" s="174">
        <v>500</v>
      </c>
      <c r="J110" s="175"/>
      <c r="K110" s="175">
        <f t="shared" si="7"/>
        <v>500</v>
      </c>
      <c r="L110" s="175"/>
    </row>
    <row r="111" spans="1:12" s="82" customFormat="1" ht="13.5" customHeight="1" hidden="1">
      <c r="A111" s="407"/>
      <c r="C111" s="154"/>
      <c r="D111" s="446" t="s">
        <v>6</v>
      </c>
      <c r="E111" s="446"/>
      <c r="F111" s="446"/>
      <c r="G111" s="446"/>
      <c r="H111" s="446"/>
      <c r="I111" s="29"/>
      <c r="J111" s="80"/>
      <c r="K111" s="80">
        <f t="shared" si="7"/>
        <v>0</v>
      </c>
      <c r="L111" s="80"/>
    </row>
    <row r="112" spans="1:12" s="82" customFormat="1" ht="13.5" customHeight="1" hidden="1">
      <c r="A112" s="407"/>
      <c r="C112" s="154"/>
      <c r="D112" s="446" t="s">
        <v>7</v>
      </c>
      <c r="E112" s="446"/>
      <c r="F112" s="446"/>
      <c r="G112" s="446"/>
      <c r="H112" s="446"/>
      <c r="I112" s="29"/>
      <c r="J112" s="80"/>
      <c r="K112" s="80">
        <f t="shared" si="7"/>
        <v>0</v>
      </c>
      <c r="L112" s="80"/>
    </row>
    <row r="113" spans="1:12" s="82" customFormat="1" ht="13.5" customHeight="1">
      <c r="A113" s="407"/>
      <c r="C113" s="154"/>
      <c r="D113" s="447" t="s">
        <v>38</v>
      </c>
      <c r="E113" s="447"/>
      <c r="F113" s="447"/>
      <c r="G113" s="447"/>
      <c r="H113" s="447"/>
      <c r="I113" s="253">
        <f>SUM(I114:I119)</f>
        <v>46445</v>
      </c>
      <c r="J113" s="253">
        <f>SUM(J114:J119)</f>
        <v>0</v>
      </c>
      <c r="K113" s="253">
        <f>SUM(K114:K119)</f>
        <v>46445</v>
      </c>
      <c r="L113" s="80"/>
    </row>
    <row r="114" spans="1:12" s="82" customFormat="1" ht="13.5" customHeight="1" hidden="1">
      <c r="A114" s="407"/>
      <c r="C114" s="154"/>
      <c r="D114" s="446" t="s">
        <v>289</v>
      </c>
      <c r="E114" s="446"/>
      <c r="F114" s="446"/>
      <c r="G114" s="446"/>
      <c r="H114" s="446"/>
      <c r="I114" s="29"/>
      <c r="J114" s="80"/>
      <c r="K114" s="80">
        <f aca="true" t="shared" si="8" ref="K114:K119">SUM(I114:J114)</f>
        <v>0</v>
      </c>
      <c r="L114" s="80"/>
    </row>
    <row r="115" spans="1:12" s="82" customFormat="1" ht="12.75" customHeight="1">
      <c r="A115" s="407"/>
      <c r="C115" s="154"/>
      <c r="D115" s="444" t="s">
        <v>8</v>
      </c>
      <c r="E115" s="448"/>
      <c r="F115" s="448"/>
      <c r="G115" s="448"/>
      <c r="H115" s="448"/>
      <c r="I115" s="29">
        <f>500+500+11700+31045+2700</f>
        <v>46445</v>
      </c>
      <c r="J115" s="80"/>
      <c r="K115" s="80">
        <f t="shared" si="8"/>
        <v>46445</v>
      </c>
      <c r="L115" s="80"/>
    </row>
    <row r="116" spans="1:12" s="82" customFormat="1" ht="13.5" customHeight="1" hidden="1">
      <c r="A116" s="407"/>
      <c r="C116" s="154"/>
      <c r="D116" s="444" t="s">
        <v>10</v>
      </c>
      <c r="E116" s="444"/>
      <c r="F116" s="444"/>
      <c r="G116" s="444"/>
      <c r="H116" s="444"/>
      <c r="I116" s="29"/>
      <c r="J116" s="80"/>
      <c r="K116" s="80">
        <f t="shared" si="8"/>
        <v>0</v>
      </c>
      <c r="L116" s="80"/>
    </row>
    <row r="117" spans="1:13" s="79" customFormat="1" ht="13.5" customHeight="1" hidden="1">
      <c r="A117" s="407"/>
      <c r="C117" s="151"/>
      <c r="D117" s="444" t="s">
        <v>9</v>
      </c>
      <c r="E117" s="444"/>
      <c r="F117" s="444"/>
      <c r="G117" s="444"/>
      <c r="H117" s="444"/>
      <c r="I117" s="29"/>
      <c r="J117" s="77"/>
      <c r="K117" s="80">
        <f t="shared" si="8"/>
        <v>0</v>
      </c>
      <c r="L117" s="80"/>
      <c r="M117" s="82"/>
    </row>
    <row r="118" spans="1:12" s="82" customFormat="1" ht="13.5" customHeight="1" hidden="1">
      <c r="A118" s="407"/>
      <c r="C118" s="149"/>
      <c r="D118" s="444" t="s">
        <v>11</v>
      </c>
      <c r="E118" s="444"/>
      <c r="F118" s="444"/>
      <c r="G118" s="444"/>
      <c r="H118" s="444"/>
      <c r="I118" s="29"/>
      <c r="J118" s="80"/>
      <c r="K118" s="80">
        <f t="shared" si="8"/>
        <v>0</v>
      </c>
      <c r="L118" s="80"/>
    </row>
    <row r="119" spans="1:13" s="79" customFormat="1" ht="13.5" customHeight="1" hidden="1">
      <c r="A119" s="407"/>
      <c r="C119" s="151"/>
      <c r="D119" s="444" t="s">
        <v>12</v>
      </c>
      <c r="E119" s="444"/>
      <c r="F119" s="444"/>
      <c r="G119" s="444"/>
      <c r="H119" s="444"/>
      <c r="I119" s="29"/>
      <c r="J119" s="77"/>
      <c r="K119" s="80">
        <f t="shared" si="8"/>
        <v>0</v>
      </c>
      <c r="L119" s="80"/>
      <c r="M119" s="82"/>
    </row>
    <row r="120" spans="1:13" s="79" customFormat="1" ht="13.5" customHeight="1">
      <c r="A120" s="407"/>
      <c r="C120" s="151"/>
      <c r="D120" s="445" t="s">
        <v>277</v>
      </c>
      <c r="E120" s="445"/>
      <c r="F120" s="445"/>
      <c r="G120" s="445"/>
      <c r="H120" s="445"/>
      <c r="I120" s="77">
        <f>I104-I113</f>
        <v>0</v>
      </c>
      <c r="J120" s="77">
        <f>J104-J113</f>
        <v>0</v>
      </c>
      <c r="K120" s="77">
        <f>K104-K113</f>
        <v>0</v>
      </c>
      <c r="L120" s="80"/>
      <c r="M120" s="82"/>
    </row>
    <row r="121" spans="1:13" s="79" customFormat="1" ht="13.5" customHeight="1">
      <c r="A121" s="407"/>
      <c r="C121" s="151"/>
      <c r="D121" s="444" t="s">
        <v>279</v>
      </c>
      <c r="E121" s="444"/>
      <c r="F121" s="444"/>
      <c r="G121" s="444"/>
      <c r="H121" s="444"/>
      <c r="I121" s="29">
        <f>I122+I123+I124</f>
        <v>0</v>
      </c>
      <c r="J121" s="29">
        <f>J122+J123+J124</f>
        <v>0</v>
      </c>
      <c r="K121" s="29">
        <f>K122+K123+K124</f>
        <v>0</v>
      </c>
      <c r="L121" s="80"/>
      <c r="M121" s="82"/>
    </row>
    <row r="122" spans="1:13" s="79" customFormat="1" ht="13.5" customHeight="1" hidden="1">
      <c r="A122" s="407"/>
      <c r="C122" s="151"/>
      <c r="D122" s="444" t="s">
        <v>278</v>
      </c>
      <c r="E122" s="444"/>
      <c r="F122" s="444"/>
      <c r="G122" s="444"/>
      <c r="H122" s="444"/>
      <c r="I122" s="29"/>
      <c r="J122" s="77"/>
      <c r="K122" s="80">
        <f>SUM(I122:J122)</f>
        <v>0</v>
      </c>
      <c r="L122" s="80"/>
      <c r="M122" s="82"/>
    </row>
    <row r="123" spans="1:13" s="79" customFormat="1" ht="13.5" customHeight="1" hidden="1">
      <c r="A123" s="407"/>
      <c r="C123" s="151"/>
      <c r="D123" s="444" t="s">
        <v>280</v>
      </c>
      <c r="E123" s="444"/>
      <c r="F123" s="444"/>
      <c r="G123" s="444"/>
      <c r="H123" s="444"/>
      <c r="I123" s="29"/>
      <c r="J123" s="77"/>
      <c r="K123" s="80">
        <f>SUM(I123:J123)</f>
        <v>0</v>
      </c>
      <c r="L123" s="80"/>
      <c r="M123" s="82"/>
    </row>
    <row r="124" spans="1:13" s="79" customFormat="1" ht="13.5" customHeight="1" hidden="1">
      <c r="A124" s="407"/>
      <c r="C124" s="151"/>
      <c r="D124" s="444" t="s">
        <v>281</v>
      </c>
      <c r="E124" s="444"/>
      <c r="F124" s="444"/>
      <c r="G124" s="444"/>
      <c r="H124" s="444"/>
      <c r="I124" s="29"/>
      <c r="J124" s="77"/>
      <c r="K124" s="80">
        <f>SUM(I124:J124)</f>
        <v>0</v>
      </c>
      <c r="L124" s="80"/>
      <c r="M124" s="82"/>
    </row>
    <row r="125" spans="1:13" s="79" customFormat="1" ht="9" customHeight="1">
      <c r="A125" s="407"/>
      <c r="C125" s="151"/>
      <c r="D125" s="85"/>
      <c r="E125" s="85"/>
      <c r="F125" s="85"/>
      <c r="G125" s="85"/>
      <c r="H125" s="85"/>
      <c r="I125" s="29"/>
      <c r="J125" s="77"/>
      <c r="K125" s="77"/>
      <c r="L125" s="80"/>
      <c r="M125" s="82"/>
    </row>
    <row r="126" spans="1:12" s="82" customFormat="1" ht="11.25" customHeight="1" hidden="1">
      <c r="A126" s="407"/>
      <c r="C126" s="149"/>
      <c r="D126" s="81"/>
      <c r="E126" s="81"/>
      <c r="F126" s="81"/>
      <c r="G126" s="81"/>
      <c r="H126" s="81"/>
      <c r="I126" s="29"/>
      <c r="J126" s="80"/>
      <c r="K126" s="80"/>
      <c r="L126" s="80"/>
    </row>
    <row r="127" spans="1:13" s="15" customFormat="1" ht="18.75" customHeight="1">
      <c r="A127" s="407"/>
      <c r="C127" s="142" t="s">
        <v>83</v>
      </c>
      <c r="D127" s="450" t="s">
        <v>79</v>
      </c>
      <c r="E127" s="450"/>
      <c r="F127" s="450"/>
      <c r="G127" s="450"/>
      <c r="H127" s="450"/>
      <c r="I127" s="17"/>
      <c r="J127" s="126"/>
      <c r="K127" s="126"/>
      <c r="L127" s="127"/>
      <c r="M127" s="95"/>
    </row>
    <row r="128" spans="1:13" s="15" customFormat="1" ht="13.5" customHeight="1">
      <c r="A128" s="407"/>
      <c r="C128" s="154"/>
      <c r="D128" s="447" t="s">
        <v>37</v>
      </c>
      <c r="E128" s="447"/>
      <c r="F128" s="447"/>
      <c r="G128" s="447"/>
      <c r="H128" s="447"/>
      <c r="I128" s="77">
        <f>SUM(I129:I131)</f>
        <v>6000</v>
      </c>
      <c r="J128" s="77">
        <f>SUM(J129:J131)</f>
        <v>0</v>
      </c>
      <c r="K128" s="77">
        <f>SUM(K129:K131)</f>
        <v>6000</v>
      </c>
      <c r="L128" s="127"/>
      <c r="M128" s="95"/>
    </row>
    <row r="129" spans="1:13" s="15" customFormat="1" ht="12.75" customHeight="1">
      <c r="A129" s="407"/>
      <c r="C129" s="154"/>
      <c r="D129" s="446" t="s">
        <v>5</v>
      </c>
      <c r="E129" s="446"/>
      <c r="F129" s="446"/>
      <c r="G129" s="446"/>
      <c r="H129" s="446"/>
      <c r="I129" s="29">
        <v>6000</v>
      </c>
      <c r="J129" s="80"/>
      <c r="K129" s="80">
        <f>SUM(I129:J129)</f>
        <v>6000</v>
      </c>
      <c r="L129" s="127"/>
      <c r="M129" s="95"/>
    </row>
    <row r="130" spans="1:13" s="15" customFormat="1" ht="13.5" customHeight="1" hidden="1">
      <c r="A130" s="407"/>
      <c r="C130" s="154"/>
      <c r="D130" s="446" t="s">
        <v>6</v>
      </c>
      <c r="E130" s="446"/>
      <c r="F130" s="446"/>
      <c r="G130" s="446"/>
      <c r="H130" s="446"/>
      <c r="I130" s="29"/>
      <c r="J130" s="78"/>
      <c r="K130" s="80">
        <f>SUM(I130:J130)</f>
        <v>0</v>
      </c>
      <c r="L130" s="127"/>
      <c r="M130" s="95"/>
    </row>
    <row r="131" spans="1:13" s="15" customFormat="1" ht="13.5" customHeight="1" hidden="1">
      <c r="A131" s="407"/>
      <c r="C131" s="154"/>
      <c r="D131" s="446" t="s">
        <v>7</v>
      </c>
      <c r="E131" s="446"/>
      <c r="F131" s="446"/>
      <c r="G131" s="446"/>
      <c r="H131" s="446"/>
      <c r="I131" s="29"/>
      <c r="J131" s="78"/>
      <c r="K131" s="80">
        <f>SUM(I131:J131)</f>
        <v>0</v>
      </c>
      <c r="L131" s="127"/>
      <c r="M131" s="95"/>
    </row>
    <row r="132" spans="1:13" s="15" customFormat="1" ht="13.5" customHeight="1">
      <c r="A132" s="407"/>
      <c r="C132" s="154"/>
      <c r="D132" s="447" t="s">
        <v>38</v>
      </c>
      <c r="E132" s="447"/>
      <c r="F132" s="447"/>
      <c r="G132" s="447"/>
      <c r="H132" s="447"/>
      <c r="I132" s="253">
        <f>SUM(I133:I138)</f>
        <v>6000</v>
      </c>
      <c r="J132" s="253">
        <f>SUM(J133:J138)</f>
        <v>0</v>
      </c>
      <c r="K132" s="253">
        <f>SUM(K133:K138)</f>
        <v>6000</v>
      </c>
      <c r="L132" s="127"/>
      <c r="M132" s="95"/>
    </row>
    <row r="133" spans="1:13" s="15" customFormat="1" ht="13.5" customHeight="1" hidden="1">
      <c r="A133" s="407"/>
      <c r="C133" s="154"/>
      <c r="D133" s="446" t="s">
        <v>289</v>
      </c>
      <c r="E133" s="446"/>
      <c r="F133" s="446"/>
      <c r="G133" s="446"/>
      <c r="H133" s="446"/>
      <c r="I133" s="29"/>
      <c r="J133" s="80"/>
      <c r="K133" s="80">
        <f aca="true" t="shared" si="9" ref="K133:K138">SUM(I133:J133)</f>
        <v>0</v>
      </c>
      <c r="L133" s="127"/>
      <c r="M133" s="95"/>
    </row>
    <row r="134" spans="1:13" s="15" customFormat="1" ht="12" customHeight="1">
      <c r="A134" s="407"/>
      <c r="C134" s="154"/>
      <c r="D134" s="444" t="s">
        <v>8</v>
      </c>
      <c r="E134" s="448"/>
      <c r="F134" s="448"/>
      <c r="G134" s="448"/>
      <c r="H134" s="448"/>
      <c r="I134" s="29">
        <v>6000</v>
      </c>
      <c r="J134" s="80"/>
      <c r="K134" s="80">
        <f t="shared" si="9"/>
        <v>6000</v>
      </c>
      <c r="L134" s="127"/>
      <c r="M134" s="95"/>
    </row>
    <row r="135" spans="1:13" s="15" customFormat="1" ht="13.5" customHeight="1" hidden="1">
      <c r="A135" s="407"/>
      <c r="C135" s="154"/>
      <c r="D135" s="444" t="s">
        <v>10</v>
      </c>
      <c r="E135" s="444"/>
      <c r="F135" s="444"/>
      <c r="G135" s="444"/>
      <c r="H135" s="444"/>
      <c r="I135" s="29"/>
      <c r="J135" s="78"/>
      <c r="K135" s="80">
        <f t="shared" si="9"/>
        <v>0</v>
      </c>
      <c r="L135" s="127"/>
      <c r="M135" s="95"/>
    </row>
    <row r="136" spans="1:13" s="79" customFormat="1" ht="13.5" customHeight="1" hidden="1">
      <c r="A136" s="407"/>
      <c r="C136" s="151"/>
      <c r="D136" s="444" t="s">
        <v>9</v>
      </c>
      <c r="E136" s="444"/>
      <c r="F136" s="444"/>
      <c r="G136" s="444"/>
      <c r="H136" s="444"/>
      <c r="I136" s="29"/>
      <c r="J136" s="77"/>
      <c r="K136" s="80">
        <f t="shared" si="9"/>
        <v>0</v>
      </c>
      <c r="L136" s="80"/>
      <c r="M136" s="82"/>
    </row>
    <row r="137" spans="1:12" s="82" customFormat="1" ht="13.5" customHeight="1" hidden="1">
      <c r="A137" s="407"/>
      <c r="C137" s="149"/>
      <c r="D137" s="444" t="s">
        <v>11</v>
      </c>
      <c r="E137" s="444"/>
      <c r="F137" s="444"/>
      <c r="G137" s="444"/>
      <c r="H137" s="444"/>
      <c r="I137" s="29"/>
      <c r="J137" s="80"/>
      <c r="K137" s="80">
        <f t="shared" si="9"/>
        <v>0</v>
      </c>
      <c r="L137" s="80"/>
    </row>
    <row r="138" spans="1:13" s="79" customFormat="1" ht="13.5" customHeight="1" hidden="1">
      <c r="A138" s="407"/>
      <c r="C138" s="151"/>
      <c r="D138" s="444" t="s">
        <v>12</v>
      </c>
      <c r="E138" s="444"/>
      <c r="F138" s="444"/>
      <c r="G138" s="444"/>
      <c r="H138" s="444"/>
      <c r="I138" s="29"/>
      <c r="J138" s="77"/>
      <c r="K138" s="80">
        <f t="shared" si="9"/>
        <v>0</v>
      </c>
      <c r="L138" s="80"/>
      <c r="M138" s="82"/>
    </row>
    <row r="139" spans="1:13" s="79" customFormat="1" ht="13.5" customHeight="1">
      <c r="A139" s="407"/>
      <c r="C139" s="151"/>
      <c r="D139" s="445" t="s">
        <v>277</v>
      </c>
      <c r="E139" s="445"/>
      <c r="F139" s="445"/>
      <c r="G139" s="445"/>
      <c r="H139" s="445"/>
      <c r="I139" s="77">
        <f>I128-I132</f>
        <v>0</v>
      </c>
      <c r="J139" s="77">
        <f>J128-J132</f>
        <v>0</v>
      </c>
      <c r="K139" s="77">
        <f>K128-K132</f>
        <v>0</v>
      </c>
      <c r="L139" s="80"/>
      <c r="M139" s="82"/>
    </row>
    <row r="140" spans="1:13" s="79" customFormat="1" ht="13.5" customHeight="1">
      <c r="A140" s="407"/>
      <c r="C140" s="151"/>
      <c r="D140" s="444" t="s">
        <v>279</v>
      </c>
      <c r="E140" s="444"/>
      <c r="F140" s="444"/>
      <c r="G140" s="444"/>
      <c r="H140" s="444"/>
      <c r="I140" s="29">
        <f>I141+I142+I143</f>
        <v>0</v>
      </c>
      <c r="J140" s="29">
        <f>J141+J142+J143</f>
        <v>0</v>
      </c>
      <c r="K140" s="29">
        <f>K141+K142+K143</f>
        <v>0</v>
      </c>
      <c r="L140" s="80"/>
      <c r="M140" s="82"/>
    </row>
    <row r="141" spans="1:13" s="79" customFormat="1" ht="13.5" customHeight="1" hidden="1">
      <c r="A141" s="407"/>
      <c r="C141" s="151"/>
      <c r="D141" s="444" t="s">
        <v>278</v>
      </c>
      <c r="E141" s="444"/>
      <c r="F141" s="444"/>
      <c r="G141" s="444"/>
      <c r="H141" s="444"/>
      <c r="I141" s="29"/>
      <c r="J141" s="77"/>
      <c r="K141" s="80">
        <f>SUM(I141:J141)</f>
        <v>0</v>
      </c>
      <c r="L141" s="80"/>
      <c r="M141" s="82"/>
    </row>
    <row r="142" spans="1:13" s="79" customFormat="1" ht="13.5" customHeight="1" hidden="1">
      <c r="A142" s="407"/>
      <c r="C142" s="151"/>
      <c r="D142" s="444" t="s">
        <v>280</v>
      </c>
      <c r="E142" s="444"/>
      <c r="F142" s="444"/>
      <c r="G142" s="444"/>
      <c r="H142" s="444"/>
      <c r="I142" s="29"/>
      <c r="J142" s="77"/>
      <c r="K142" s="80">
        <f>SUM(I142:J142)</f>
        <v>0</v>
      </c>
      <c r="L142" s="80"/>
      <c r="M142" s="82"/>
    </row>
    <row r="143" spans="1:13" s="79" customFormat="1" ht="13.5" customHeight="1" hidden="1">
      <c r="A143" s="407"/>
      <c r="C143" s="151"/>
      <c r="D143" s="444" t="s">
        <v>281</v>
      </c>
      <c r="E143" s="444"/>
      <c r="F143" s="444"/>
      <c r="G143" s="444"/>
      <c r="H143" s="444"/>
      <c r="I143" s="29"/>
      <c r="J143" s="77"/>
      <c r="K143" s="80">
        <f>SUM(I143:J143)</f>
        <v>0</v>
      </c>
      <c r="L143" s="80"/>
      <c r="M143" s="82"/>
    </row>
    <row r="144" spans="1:13" s="79" customFormat="1" ht="13.5" customHeight="1">
      <c r="A144" s="407"/>
      <c r="C144" s="151"/>
      <c r="D144" s="85"/>
      <c r="E144" s="85"/>
      <c r="F144" s="85"/>
      <c r="G144" s="85"/>
      <c r="H144" s="85"/>
      <c r="I144" s="29"/>
      <c r="J144" s="77"/>
      <c r="K144" s="80"/>
      <c r="L144" s="80"/>
      <c r="M144" s="82"/>
    </row>
    <row r="145" spans="1:13" s="79" customFormat="1" ht="17.25" customHeight="1">
      <c r="A145" s="407"/>
      <c r="C145" s="151"/>
      <c r="D145" s="85"/>
      <c r="E145" s="85"/>
      <c r="F145" s="85"/>
      <c r="G145" s="85"/>
      <c r="H145" s="85"/>
      <c r="I145" s="29"/>
      <c r="J145" s="77"/>
      <c r="K145" s="77"/>
      <c r="L145" s="80"/>
      <c r="M145" s="82"/>
    </row>
    <row r="146" spans="1:13" s="15" customFormat="1" ht="13.5" customHeight="1">
      <c r="A146" s="407"/>
      <c r="C146" s="142" t="s">
        <v>84</v>
      </c>
      <c r="D146" s="450" t="s">
        <v>515</v>
      </c>
      <c r="E146" s="450"/>
      <c r="F146" s="450"/>
      <c r="G146" s="450"/>
      <c r="H146" s="450"/>
      <c r="I146" s="17"/>
      <c r="J146" s="126"/>
      <c r="K146" s="126"/>
      <c r="L146" s="127"/>
      <c r="M146" s="95"/>
    </row>
    <row r="147" spans="1:13" s="15" customFormat="1" ht="13.5" customHeight="1">
      <c r="A147" s="407"/>
      <c r="C147" s="154"/>
      <c r="D147" s="447" t="s">
        <v>37</v>
      </c>
      <c r="E147" s="447"/>
      <c r="F147" s="447"/>
      <c r="G147" s="447"/>
      <c r="H147" s="447"/>
      <c r="I147" s="77">
        <f>SUM(I148:I150)</f>
        <v>1256064</v>
      </c>
      <c r="J147" s="77">
        <f>SUM(J148:J150)</f>
        <v>0</v>
      </c>
      <c r="K147" s="77">
        <f>SUM(K148:K150)</f>
        <v>1256064</v>
      </c>
      <c r="L147" s="127"/>
      <c r="M147" s="95"/>
    </row>
    <row r="148" spans="1:13" s="15" customFormat="1" ht="12.75" customHeight="1">
      <c r="A148" s="407"/>
      <c r="C148" s="154"/>
      <c r="D148" s="446" t="s">
        <v>5</v>
      </c>
      <c r="E148" s="446"/>
      <c r="F148" s="446"/>
      <c r="G148" s="446"/>
      <c r="H148" s="446"/>
      <c r="I148" s="29">
        <f>1073+1254991</f>
        <v>1256064</v>
      </c>
      <c r="J148" s="80"/>
      <c r="K148" s="80">
        <f>SUM(I148:J148)</f>
        <v>1256064</v>
      </c>
      <c r="L148" s="127"/>
      <c r="M148" s="95"/>
    </row>
    <row r="149" spans="1:13" s="15" customFormat="1" ht="13.5" customHeight="1" hidden="1">
      <c r="A149" s="407"/>
      <c r="C149" s="154"/>
      <c r="D149" s="446" t="s">
        <v>6</v>
      </c>
      <c r="E149" s="446"/>
      <c r="F149" s="446"/>
      <c r="G149" s="446"/>
      <c r="H149" s="446"/>
      <c r="I149" s="29"/>
      <c r="J149" s="78"/>
      <c r="K149" s="80">
        <f>SUM(I149:J149)</f>
        <v>0</v>
      </c>
      <c r="L149" s="127"/>
      <c r="M149" s="95"/>
    </row>
    <row r="150" spans="1:13" s="15" customFormat="1" ht="13.5" customHeight="1" hidden="1">
      <c r="A150" s="407"/>
      <c r="C150" s="154"/>
      <c r="D150" s="446" t="s">
        <v>7</v>
      </c>
      <c r="E150" s="446"/>
      <c r="F150" s="446"/>
      <c r="G150" s="446"/>
      <c r="H150" s="446"/>
      <c r="I150" s="29"/>
      <c r="J150" s="78"/>
      <c r="K150" s="80">
        <f>SUM(I150:J150)</f>
        <v>0</v>
      </c>
      <c r="L150" s="127"/>
      <c r="M150" s="95"/>
    </row>
    <row r="151" spans="1:13" s="15" customFormat="1" ht="13.5" customHeight="1">
      <c r="A151" s="407"/>
      <c r="C151" s="154"/>
      <c r="D151" s="447" t="s">
        <v>38</v>
      </c>
      <c r="E151" s="447"/>
      <c r="F151" s="447"/>
      <c r="G151" s="447"/>
      <c r="H151" s="447"/>
      <c r="I151" s="253">
        <f>SUM(I152:I157)</f>
        <v>1256064</v>
      </c>
      <c r="J151" s="253">
        <f>SUM(J152:J157)</f>
        <v>0</v>
      </c>
      <c r="K151" s="253">
        <f>SUM(K152:K157)</f>
        <v>1256064</v>
      </c>
      <c r="L151" s="127"/>
      <c r="M151" s="95"/>
    </row>
    <row r="152" spans="1:13" s="15" customFormat="1" ht="13.5" customHeight="1" hidden="1">
      <c r="A152" s="407"/>
      <c r="C152" s="154"/>
      <c r="D152" s="446" t="s">
        <v>289</v>
      </c>
      <c r="E152" s="446"/>
      <c r="F152" s="446"/>
      <c r="G152" s="446"/>
      <c r="H152" s="446"/>
      <c r="I152" s="29"/>
      <c r="J152" s="80"/>
      <c r="K152" s="80">
        <f aca="true" t="shared" si="10" ref="K152:K157">SUM(I152:J152)</f>
        <v>0</v>
      </c>
      <c r="L152" s="127"/>
      <c r="M152" s="95"/>
    </row>
    <row r="153" spans="1:13" s="15" customFormat="1" ht="13.5" customHeight="1" hidden="1">
      <c r="A153" s="407"/>
      <c r="C153" s="154"/>
      <c r="D153" s="444" t="s">
        <v>8</v>
      </c>
      <c r="E153" s="448"/>
      <c r="F153" s="448"/>
      <c r="G153" s="448"/>
      <c r="H153" s="448"/>
      <c r="I153" s="29"/>
      <c r="J153" s="78"/>
      <c r="K153" s="80">
        <f t="shared" si="10"/>
        <v>0</v>
      </c>
      <c r="L153" s="127"/>
      <c r="M153" s="95"/>
    </row>
    <row r="154" spans="1:13" s="15" customFormat="1" ht="13.5" customHeight="1" hidden="1">
      <c r="A154" s="407"/>
      <c r="C154" s="154"/>
      <c r="D154" s="444" t="s">
        <v>10</v>
      </c>
      <c r="E154" s="444"/>
      <c r="F154" s="444"/>
      <c r="G154" s="444"/>
      <c r="H154" s="444"/>
      <c r="I154" s="29"/>
      <c r="J154" s="78"/>
      <c r="K154" s="80">
        <f t="shared" si="10"/>
        <v>0</v>
      </c>
      <c r="L154" s="127"/>
      <c r="M154" s="95"/>
    </row>
    <row r="155" spans="1:13" s="79" customFormat="1" ht="12.75" customHeight="1">
      <c r="A155" s="407"/>
      <c r="C155" s="151"/>
      <c r="D155" s="444" t="s">
        <v>9</v>
      </c>
      <c r="E155" s="444"/>
      <c r="F155" s="444"/>
      <c r="G155" s="444"/>
      <c r="H155" s="444"/>
      <c r="I155" s="29">
        <f>1073+1254991</f>
        <v>1256064</v>
      </c>
      <c r="J155" s="29"/>
      <c r="K155" s="80">
        <f t="shared" si="10"/>
        <v>1256064</v>
      </c>
      <c r="L155" s="80"/>
      <c r="M155" s="82"/>
    </row>
    <row r="156" spans="1:12" s="82" customFormat="1" ht="13.5" customHeight="1" hidden="1">
      <c r="A156" s="407"/>
      <c r="C156" s="149"/>
      <c r="D156" s="444" t="s">
        <v>11</v>
      </c>
      <c r="E156" s="444"/>
      <c r="F156" s="444"/>
      <c r="G156" s="444"/>
      <c r="H156" s="444"/>
      <c r="I156" s="29"/>
      <c r="J156" s="80"/>
      <c r="K156" s="80">
        <f t="shared" si="10"/>
        <v>0</v>
      </c>
      <c r="L156" s="80"/>
    </row>
    <row r="157" spans="1:13" s="79" customFormat="1" ht="13.5" customHeight="1" hidden="1">
      <c r="A157" s="407"/>
      <c r="C157" s="151"/>
      <c r="D157" s="444" t="s">
        <v>12</v>
      </c>
      <c r="E157" s="444"/>
      <c r="F157" s="444"/>
      <c r="G157" s="444"/>
      <c r="H157" s="444"/>
      <c r="I157" s="29"/>
      <c r="J157" s="77"/>
      <c r="K157" s="80">
        <f t="shared" si="10"/>
        <v>0</v>
      </c>
      <c r="L157" s="80"/>
      <c r="M157" s="82"/>
    </row>
    <row r="158" spans="1:13" s="79" customFormat="1" ht="13.5" customHeight="1">
      <c r="A158" s="407"/>
      <c r="C158" s="151"/>
      <c r="D158" s="445" t="s">
        <v>277</v>
      </c>
      <c r="E158" s="445"/>
      <c r="F158" s="445"/>
      <c r="G158" s="445"/>
      <c r="H158" s="445"/>
      <c r="I158" s="77">
        <f>I147-I151</f>
        <v>0</v>
      </c>
      <c r="J158" s="77">
        <f>J147-J151</f>
        <v>0</v>
      </c>
      <c r="K158" s="77">
        <f>K147-K151</f>
        <v>0</v>
      </c>
      <c r="L158" s="80"/>
      <c r="M158" s="82"/>
    </row>
    <row r="159" spans="1:13" s="79" customFormat="1" ht="12.75" customHeight="1">
      <c r="A159" s="407"/>
      <c r="C159" s="151"/>
      <c r="D159" s="444" t="s">
        <v>279</v>
      </c>
      <c r="E159" s="444"/>
      <c r="F159" s="444"/>
      <c r="G159" s="444"/>
      <c r="H159" s="444"/>
      <c r="I159" s="29">
        <f>I160+I161+I162</f>
        <v>0</v>
      </c>
      <c r="J159" s="29">
        <f>J160+J161+J162</f>
        <v>0</v>
      </c>
      <c r="K159" s="29">
        <f>K160+K161+K162</f>
        <v>0</v>
      </c>
      <c r="L159" s="80"/>
      <c r="M159" s="82"/>
    </row>
    <row r="160" spans="1:13" s="79" customFormat="1" ht="13.5" customHeight="1" hidden="1">
      <c r="A160" s="407"/>
      <c r="C160" s="151"/>
      <c r="D160" s="444" t="s">
        <v>278</v>
      </c>
      <c r="E160" s="444"/>
      <c r="F160" s="444"/>
      <c r="G160" s="444"/>
      <c r="H160" s="444"/>
      <c r="I160" s="29"/>
      <c r="J160" s="77"/>
      <c r="K160" s="80">
        <f>SUM(I160:J160)</f>
        <v>0</v>
      </c>
      <c r="L160" s="80"/>
      <c r="M160" s="82"/>
    </row>
    <row r="161" spans="1:13" s="79" customFormat="1" ht="13.5" customHeight="1" hidden="1">
      <c r="A161" s="407"/>
      <c r="C161" s="151"/>
      <c r="D161" s="444" t="s">
        <v>280</v>
      </c>
      <c r="E161" s="444"/>
      <c r="F161" s="444"/>
      <c r="G161" s="444"/>
      <c r="H161" s="444"/>
      <c r="I161" s="29"/>
      <c r="J161" s="77"/>
      <c r="K161" s="80">
        <f>SUM(I161:J161)</f>
        <v>0</v>
      </c>
      <c r="L161" s="80"/>
      <c r="M161" s="82"/>
    </row>
    <row r="162" spans="1:13" s="79" customFormat="1" ht="13.5" customHeight="1" hidden="1">
      <c r="A162" s="407"/>
      <c r="C162" s="151"/>
      <c r="D162" s="444" t="s">
        <v>281</v>
      </c>
      <c r="E162" s="444"/>
      <c r="F162" s="444"/>
      <c r="G162" s="444"/>
      <c r="H162" s="444"/>
      <c r="I162" s="29"/>
      <c r="J162" s="77"/>
      <c r="K162" s="80">
        <f>SUM(I162:J162)</f>
        <v>0</v>
      </c>
      <c r="L162" s="80"/>
      <c r="M162" s="82"/>
    </row>
    <row r="163" spans="1:13" s="79" customFormat="1" ht="8.25" customHeight="1" hidden="1">
      <c r="A163" s="407"/>
      <c r="C163" s="151"/>
      <c r="D163" s="85"/>
      <c r="E163" s="85"/>
      <c r="F163" s="85"/>
      <c r="G163" s="85"/>
      <c r="H163" s="85"/>
      <c r="I163" s="29"/>
      <c r="J163" s="77"/>
      <c r="K163" s="77"/>
      <c r="L163" s="80"/>
      <c r="M163" s="82"/>
    </row>
    <row r="164" spans="1:12" s="82" customFormat="1" ht="13.5" customHeight="1" hidden="1">
      <c r="A164" s="407"/>
      <c r="C164" s="149"/>
      <c r="D164" s="81"/>
      <c r="E164" s="81"/>
      <c r="F164" s="81"/>
      <c r="G164" s="81"/>
      <c r="H164" s="81"/>
      <c r="I164" s="29"/>
      <c r="J164" s="80"/>
      <c r="K164" s="80"/>
      <c r="L164" s="80"/>
    </row>
    <row r="165" spans="1:13" s="15" customFormat="1" ht="13.5" customHeight="1" hidden="1">
      <c r="A165" s="407"/>
      <c r="C165" s="142" t="s">
        <v>84</v>
      </c>
      <c r="D165" s="450" t="s">
        <v>402</v>
      </c>
      <c r="E165" s="450"/>
      <c r="F165" s="450"/>
      <c r="G165" s="450"/>
      <c r="H165" s="450"/>
      <c r="I165" s="17"/>
      <c r="J165" s="126"/>
      <c r="K165" s="126"/>
      <c r="L165" s="127"/>
      <c r="M165" s="95"/>
    </row>
    <row r="166" spans="1:13" s="15" customFormat="1" ht="13.5" customHeight="1" hidden="1">
      <c r="A166" s="407"/>
      <c r="C166" s="154"/>
      <c r="D166" s="447" t="s">
        <v>37</v>
      </c>
      <c r="E166" s="447"/>
      <c r="F166" s="447"/>
      <c r="G166" s="447"/>
      <c r="H166" s="447"/>
      <c r="I166" s="77">
        <f>SUM(I167:I169)</f>
        <v>0</v>
      </c>
      <c r="J166" s="77">
        <f>SUM(J167:J169)</f>
        <v>0</v>
      </c>
      <c r="K166" s="77">
        <f>SUM(K167:K169)</f>
        <v>0</v>
      </c>
      <c r="L166" s="127"/>
      <c r="M166" s="95"/>
    </row>
    <row r="167" spans="1:13" s="15" customFormat="1" ht="13.5" customHeight="1" hidden="1">
      <c r="A167" s="407"/>
      <c r="C167" s="154"/>
      <c r="D167" s="446" t="s">
        <v>5</v>
      </c>
      <c r="E167" s="446"/>
      <c r="F167" s="446"/>
      <c r="G167" s="446"/>
      <c r="H167" s="446"/>
      <c r="I167" s="100"/>
      <c r="J167" s="78"/>
      <c r="K167" s="80">
        <f>SUM(I167:J167)</f>
        <v>0</v>
      </c>
      <c r="L167" s="127"/>
      <c r="M167" s="95"/>
    </row>
    <row r="168" spans="1:13" s="15" customFormat="1" ht="13.5" customHeight="1" hidden="1">
      <c r="A168" s="407"/>
      <c r="C168" s="154"/>
      <c r="D168" s="446" t="s">
        <v>6</v>
      </c>
      <c r="E168" s="446"/>
      <c r="F168" s="446"/>
      <c r="G168" s="446"/>
      <c r="H168" s="446"/>
      <c r="I168" s="29"/>
      <c r="J168" s="80"/>
      <c r="K168" s="80">
        <f>SUM(I168:J168)</f>
        <v>0</v>
      </c>
      <c r="L168" s="127"/>
      <c r="M168" s="95"/>
    </row>
    <row r="169" spans="1:13" s="15" customFormat="1" ht="13.5" customHeight="1" hidden="1">
      <c r="A169" s="407"/>
      <c r="C169" s="154"/>
      <c r="D169" s="446" t="s">
        <v>7</v>
      </c>
      <c r="E169" s="446"/>
      <c r="F169" s="446"/>
      <c r="G169" s="446"/>
      <c r="H169" s="446"/>
      <c r="I169" s="29"/>
      <c r="J169" s="78"/>
      <c r="K169" s="80">
        <f>SUM(I169:J169)</f>
        <v>0</v>
      </c>
      <c r="L169" s="127"/>
      <c r="M169" s="95"/>
    </row>
    <row r="170" spans="1:13" s="15" customFormat="1" ht="13.5" customHeight="1" hidden="1">
      <c r="A170" s="407"/>
      <c r="C170" s="154"/>
      <c r="D170" s="447" t="s">
        <v>38</v>
      </c>
      <c r="E170" s="447"/>
      <c r="F170" s="447"/>
      <c r="G170" s="447"/>
      <c r="H170" s="447"/>
      <c r="I170" s="253">
        <f>SUM(I171:I176)</f>
        <v>0</v>
      </c>
      <c r="J170" s="253">
        <f>SUM(J171:J176)</f>
        <v>0</v>
      </c>
      <c r="K170" s="253">
        <f>SUM(K171:K176)</f>
        <v>0</v>
      </c>
      <c r="L170" s="127"/>
      <c r="M170" s="95"/>
    </row>
    <row r="171" spans="1:13" s="15" customFormat="1" ht="13.5" customHeight="1" hidden="1">
      <c r="A171" s="407"/>
      <c r="C171" s="154"/>
      <c r="D171" s="446" t="s">
        <v>289</v>
      </c>
      <c r="E171" s="446"/>
      <c r="F171" s="446"/>
      <c r="G171" s="446"/>
      <c r="H171" s="446"/>
      <c r="I171" s="29"/>
      <c r="J171" s="80"/>
      <c r="K171" s="80">
        <f aca="true" t="shared" si="11" ref="K171:K176">SUM(I171:J171)</f>
        <v>0</v>
      </c>
      <c r="L171" s="127"/>
      <c r="M171" s="95"/>
    </row>
    <row r="172" spans="1:13" s="15" customFormat="1" ht="13.5" customHeight="1" hidden="1">
      <c r="A172" s="407"/>
      <c r="C172" s="154"/>
      <c r="D172" s="444" t="s">
        <v>8</v>
      </c>
      <c r="E172" s="448"/>
      <c r="F172" s="448"/>
      <c r="G172" s="448"/>
      <c r="H172" s="448"/>
      <c r="I172" s="29"/>
      <c r="J172" s="78"/>
      <c r="K172" s="80">
        <f t="shared" si="11"/>
        <v>0</v>
      </c>
      <c r="L172" s="127"/>
      <c r="M172" s="95"/>
    </row>
    <row r="173" spans="1:13" s="15" customFormat="1" ht="13.5" customHeight="1" hidden="1">
      <c r="A173" s="407"/>
      <c r="C173" s="154"/>
      <c r="D173" s="444" t="s">
        <v>10</v>
      </c>
      <c r="E173" s="444"/>
      <c r="F173" s="444"/>
      <c r="G173" s="444"/>
      <c r="H173" s="444"/>
      <c r="I173" s="29"/>
      <c r="J173" s="78"/>
      <c r="K173" s="80">
        <f t="shared" si="11"/>
        <v>0</v>
      </c>
      <c r="L173" s="127"/>
      <c r="M173" s="95"/>
    </row>
    <row r="174" spans="1:13" s="15" customFormat="1" ht="13.5" customHeight="1" hidden="1">
      <c r="A174" s="407"/>
      <c r="C174" s="154"/>
      <c r="D174" s="444" t="s">
        <v>9</v>
      </c>
      <c r="E174" s="444"/>
      <c r="F174" s="444"/>
      <c r="G174" s="444"/>
      <c r="H174" s="444"/>
      <c r="I174" s="29"/>
      <c r="J174" s="80"/>
      <c r="K174" s="80">
        <f t="shared" si="11"/>
        <v>0</v>
      </c>
      <c r="L174" s="127"/>
      <c r="M174" s="95"/>
    </row>
    <row r="175" spans="1:13" s="15" customFormat="1" ht="13.5" customHeight="1" hidden="1">
      <c r="A175" s="407"/>
      <c r="C175" s="154"/>
      <c r="D175" s="444" t="s">
        <v>11</v>
      </c>
      <c r="E175" s="444"/>
      <c r="F175" s="444"/>
      <c r="G175" s="444"/>
      <c r="H175" s="444"/>
      <c r="I175" s="29"/>
      <c r="J175" s="78"/>
      <c r="K175" s="80">
        <f t="shared" si="11"/>
        <v>0</v>
      </c>
      <c r="L175" s="127"/>
      <c r="M175" s="95"/>
    </row>
    <row r="176" spans="1:13" s="15" customFormat="1" ht="13.5" customHeight="1" hidden="1">
      <c r="A176" s="407"/>
      <c r="C176" s="154"/>
      <c r="D176" s="444" t="s">
        <v>12</v>
      </c>
      <c r="E176" s="444"/>
      <c r="F176" s="444"/>
      <c r="G176" s="444"/>
      <c r="H176" s="444"/>
      <c r="I176" s="29"/>
      <c r="J176" s="78"/>
      <c r="K176" s="80">
        <f t="shared" si="11"/>
        <v>0</v>
      </c>
      <c r="L176" s="127"/>
      <c r="M176" s="95"/>
    </row>
    <row r="177" spans="1:13" s="15" customFormat="1" ht="13.5" customHeight="1" hidden="1">
      <c r="A177" s="407"/>
      <c r="C177" s="154"/>
      <c r="D177" s="445" t="s">
        <v>277</v>
      </c>
      <c r="E177" s="445"/>
      <c r="F177" s="445"/>
      <c r="G177" s="445"/>
      <c r="H177" s="445"/>
      <c r="I177" s="77">
        <f>I166-I170</f>
        <v>0</v>
      </c>
      <c r="J177" s="77">
        <f>J166-J170</f>
        <v>0</v>
      </c>
      <c r="K177" s="77">
        <f>K166-K170</f>
        <v>0</v>
      </c>
      <c r="L177" s="127"/>
      <c r="M177" s="95"/>
    </row>
    <row r="178" spans="1:13" s="15" customFormat="1" ht="13.5" customHeight="1" hidden="1">
      <c r="A178" s="407"/>
      <c r="C178" s="154"/>
      <c r="D178" s="444" t="s">
        <v>279</v>
      </c>
      <c r="E178" s="444"/>
      <c r="F178" s="444"/>
      <c r="G178" s="444"/>
      <c r="H178" s="444"/>
      <c r="I178" s="29">
        <f>I179+I180+I181</f>
        <v>0</v>
      </c>
      <c r="J178" s="29">
        <f>J179+J180+J181</f>
        <v>0</v>
      </c>
      <c r="K178" s="29">
        <f>K179+K180+K181</f>
        <v>0</v>
      </c>
      <c r="L178" s="127"/>
      <c r="M178" s="95"/>
    </row>
    <row r="179" spans="1:13" s="15" customFormat="1" ht="13.5" customHeight="1" hidden="1">
      <c r="A179" s="407"/>
      <c r="C179" s="154"/>
      <c r="D179" s="444" t="s">
        <v>278</v>
      </c>
      <c r="E179" s="444"/>
      <c r="F179" s="444"/>
      <c r="G179" s="444"/>
      <c r="H179" s="444"/>
      <c r="I179" s="29"/>
      <c r="J179" s="77"/>
      <c r="K179" s="80">
        <f>SUM(I179:J179)</f>
        <v>0</v>
      </c>
      <c r="L179" s="127"/>
      <c r="M179" s="95"/>
    </row>
    <row r="180" spans="1:13" s="15" customFormat="1" ht="13.5" customHeight="1" hidden="1">
      <c r="A180" s="407"/>
      <c r="C180" s="154"/>
      <c r="D180" s="444" t="s">
        <v>280</v>
      </c>
      <c r="E180" s="444"/>
      <c r="F180" s="444"/>
      <c r="G180" s="444"/>
      <c r="H180" s="444"/>
      <c r="I180" s="29"/>
      <c r="J180" s="77"/>
      <c r="K180" s="80">
        <f>SUM(I180:J180)</f>
        <v>0</v>
      </c>
      <c r="L180" s="127"/>
      <c r="M180" s="95"/>
    </row>
    <row r="181" spans="1:13" s="15" customFormat="1" ht="13.5" customHeight="1" hidden="1">
      <c r="A181" s="407"/>
      <c r="C181" s="154"/>
      <c r="D181" s="444" t="s">
        <v>281</v>
      </c>
      <c r="E181" s="444"/>
      <c r="F181" s="444"/>
      <c r="G181" s="444"/>
      <c r="H181" s="444"/>
      <c r="I181" s="29"/>
      <c r="J181" s="77"/>
      <c r="K181" s="80">
        <f>SUM(I181:J181)</f>
        <v>0</v>
      </c>
      <c r="L181" s="127"/>
      <c r="M181" s="95"/>
    </row>
    <row r="182" spans="1:13" s="15" customFormat="1" ht="13.5" customHeight="1" hidden="1">
      <c r="A182" s="407"/>
      <c r="C182" s="154"/>
      <c r="D182" s="85"/>
      <c r="E182" s="85"/>
      <c r="F182" s="85"/>
      <c r="G182" s="85"/>
      <c r="H182" s="85"/>
      <c r="I182" s="29"/>
      <c r="J182" s="78"/>
      <c r="K182" s="78"/>
      <c r="L182" s="127"/>
      <c r="M182" s="95"/>
    </row>
    <row r="183" spans="1:12" s="82" customFormat="1" ht="10.5" customHeight="1">
      <c r="A183" s="407"/>
      <c r="C183" s="149"/>
      <c r="D183" s="81"/>
      <c r="E183" s="81"/>
      <c r="F183" s="81"/>
      <c r="G183" s="81"/>
      <c r="H183" s="81"/>
      <c r="I183" s="29"/>
      <c r="J183" s="80"/>
      <c r="K183" s="80"/>
      <c r="L183" s="80"/>
    </row>
    <row r="184" spans="1:13" s="99" customFormat="1" ht="13.5" customHeight="1">
      <c r="A184" s="411"/>
      <c r="C184" s="128" t="s">
        <v>85</v>
      </c>
      <c r="D184" s="428" t="s">
        <v>76</v>
      </c>
      <c r="E184" s="428"/>
      <c r="F184" s="428"/>
      <c r="G184" s="428"/>
      <c r="H184" s="428"/>
      <c r="I184" s="130"/>
      <c r="J184" s="137"/>
      <c r="K184" s="137"/>
      <c r="L184" s="131"/>
      <c r="M184" s="132"/>
    </row>
    <row r="185" spans="1:13" s="99" customFormat="1" ht="13.5" customHeight="1">
      <c r="A185" s="411"/>
      <c r="C185" s="101"/>
      <c r="D185" s="447" t="s">
        <v>37</v>
      </c>
      <c r="E185" s="447"/>
      <c r="F185" s="447"/>
      <c r="G185" s="447"/>
      <c r="H185" s="447"/>
      <c r="I185" s="77">
        <f>SUM(I186:I188)</f>
        <v>180000</v>
      </c>
      <c r="J185" s="77">
        <f>SUM(J186:J188)</f>
        <v>0</v>
      </c>
      <c r="K185" s="77">
        <f>SUM(K186:K188)</f>
        <v>180000</v>
      </c>
      <c r="L185" s="131"/>
      <c r="M185" s="132"/>
    </row>
    <row r="186" spans="1:13" s="116" customFormat="1" ht="12" customHeight="1">
      <c r="A186" s="411"/>
      <c r="C186" s="101"/>
      <c r="D186" s="446" t="s">
        <v>5</v>
      </c>
      <c r="E186" s="446"/>
      <c r="F186" s="446"/>
      <c r="G186" s="446"/>
      <c r="H186" s="446"/>
      <c r="I186" s="29">
        <v>180000</v>
      </c>
      <c r="J186" s="98"/>
      <c r="K186" s="98">
        <f>SUM(I186:J186)</f>
        <v>180000</v>
      </c>
      <c r="L186" s="98"/>
      <c r="M186" s="88"/>
    </row>
    <row r="187" spans="1:13" s="116" customFormat="1" ht="13.5" customHeight="1" hidden="1">
      <c r="A187" s="411"/>
      <c r="C187" s="101"/>
      <c r="D187" s="446" t="s">
        <v>6</v>
      </c>
      <c r="E187" s="446"/>
      <c r="F187" s="446"/>
      <c r="G187" s="446"/>
      <c r="H187" s="446"/>
      <c r="I187" s="29"/>
      <c r="J187" s="115"/>
      <c r="K187" s="98">
        <f>SUM(I187:J187)</f>
        <v>0</v>
      </c>
      <c r="L187" s="98"/>
      <c r="M187" s="88"/>
    </row>
    <row r="188" spans="1:13" s="116" customFormat="1" ht="13.5" customHeight="1" hidden="1">
      <c r="A188" s="411"/>
      <c r="C188" s="101"/>
      <c r="D188" s="446" t="s">
        <v>7</v>
      </c>
      <c r="E188" s="446"/>
      <c r="F188" s="446"/>
      <c r="G188" s="446"/>
      <c r="H188" s="446"/>
      <c r="I188" s="29"/>
      <c r="J188" s="115"/>
      <c r="K188" s="98">
        <f>SUM(I188:J188)</f>
        <v>0</v>
      </c>
      <c r="L188" s="98"/>
      <c r="M188" s="88"/>
    </row>
    <row r="189" spans="1:13" s="99" customFormat="1" ht="12.75" customHeight="1">
      <c r="A189" s="411"/>
      <c r="C189" s="101"/>
      <c r="D189" s="447" t="s">
        <v>38</v>
      </c>
      <c r="E189" s="447"/>
      <c r="F189" s="447"/>
      <c r="G189" s="447"/>
      <c r="H189" s="447"/>
      <c r="I189" s="253">
        <f>SUM(I190:I196)</f>
        <v>180000</v>
      </c>
      <c r="J189" s="253">
        <f>SUM(J190:J196)</f>
        <v>0</v>
      </c>
      <c r="K189" s="253">
        <f>SUM(K190:K196)</f>
        <v>180000</v>
      </c>
      <c r="L189" s="131"/>
      <c r="M189" s="132"/>
    </row>
    <row r="190" spans="1:13" s="99" customFormat="1" ht="13.5" customHeight="1" hidden="1">
      <c r="A190" s="411"/>
      <c r="C190" s="101"/>
      <c r="D190" s="446" t="s">
        <v>289</v>
      </c>
      <c r="E190" s="446"/>
      <c r="F190" s="446"/>
      <c r="G190" s="446"/>
      <c r="H190" s="446"/>
      <c r="I190" s="29"/>
      <c r="J190" s="98"/>
      <c r="K190" s="98">
        <f>SUM(I190:J190)</f>
        <v>0</v>
      </c>
      <c r="L190" s="131"/>
      <c r="M190" s="132"/>
    </row>
    <row r="191" spans="1:13" s="99" customFormat="1" ht="13.5" customHeight="1" hidden="1">
      <c r="A191" s="411"/>
      <c r="C191" s="101"/>
      <c r="D191" s="444" t="s">
        <v>8</v>
      </c>
      <c r="E191" s="448"/>
      <c r="F191" s="448"/>
      <c r="G191" s="448"/>
      <c r="H191" s="448"/>
      <c r="I191" s="29"/>
      <c r="J191" s="115"/>
      <c r="K191" s="98">
        <f aca="true" t="shared" si="12" ref="K191:K196">SUM(I191:J191)</f>
        <v>0</v>
      </c>
      <c r="L191" s="131"/>
      <c r="M191" s="132"/>
    </row>
    <row r="192" spans="1:13" s="99" customFormat="1" ht="13.5" customHeight="1" hidden="1">
      <c r="A192" s="411"/>
      <c r="C192" s="101"/>
      <c r="D192" s="444" t="s">
        <v>10</v>
      </c>
      <c r="E192" s="444"/>
      <c r="F192" s="444"/>
      <c r="G192" s="444"/>
      <c r="H192" s="444"/>
      <c r="I192" s="29"/>
      <c r="J192" s="115"/>
      <c r="K192" s="98">
        <f t="shared" si="12"/>
        <v>0</v>
      </c>
      <c r="L192" s="131"/>
      <c r="M192" s="132"/>
    </row>
    <row r="193" spans="1:13" s="99" customFormat="1" ht="13.5" customHeight="1" hidden="1">
      <c r="A193" s="411"/>
      <c r="C193" s="101"/>
      <c r="D193" s="444" t="s">
        <v>9</v>
      </c>
      <c r="E193" s="444"/>
      <c r="F193" s="444"/>
      <c r="G193" s="444"/>
      <c r="H193" s="444"/>
      <c r="I193" s="29"/>
      <c r="J193" s="115"/>
      <c r="K193" s="98">
        <f t="shared" si="12"/>
        <v>0</v>
      </c>
      <c r="L193" s="131"/>
      <c r="M193" s="132"/>
    </row>
    <row r="194" spans="1:13" s="79" customFormat="1" ht="13.5" customHeight="1" hidden="1">
      <c r="A194" s="407"/>
      <c r="C194" s="151"/>
      <c r="D194" s="444" t="s">
        <v>11</v>
      </c>
      <c r="E194" s="444"/>
      <c r="F194" s="444"/>
      <c r="G194" s="444"/>
      <c r="H194" s="444"/>
      <c r="I194" s="29"/>
      <c r="J194" s="77"/>
      <c r="K194" s="98">
        <f t="shared" si="12"/>
        <v>0</v>
      </c>
      <c r="L194" s="80"/>
      <c r="M194" s="82"/>
    </row>
    <row r="195" spans="1:12" s="82" customFormat="1" ht="13.5" customHeight="1" hidden="1">
      <c r="A195" s="407"/>
      <c r="C195" s="149"/>
      <c r="D195" s="444" t="s">
        <v>12</v>
      </c>
      <c r="E195" s="444"/>
      <c r="F195" s="444"/>
      <c r="G195" s="444"/>
      <c r="H195" s="444"/>
      <c r="I195" s="29"/>
      <c r="J195" s="80"/>
      <c r="K195" s="98">
        <f t="shared" si="12"/>
        <v>0</v>
      </c>
      <c r="L195" s="80"/>
    </row>
    <row r="196" spans="1:12" s="82" customFormat="1" ht="13.5" customHeight="1">
      <c r="A196" s="407"/>
      <c r="C196" s="149"/>
      <c r="D196" s="444" t="s">
        <v>236</v>
      </c>
      <c r="E196" s="444"/>
      <c r="F196" s="444"/>
      <c r="G196" s="444"/>
      <c r="H196" s="444"/>
      <c r="I196" s="29">
        <v>180000</v>
      </c>
      <c r="J196" s="80"/>
      <c r="K196" s="98">
        <f t="shared" si="12"/>
        <v>180000</v>
      </c>
      <c r="L196" s="80"/>
    </row>
    <row r="197" spans="1:12" s="82" customFormat="1" ht="13.5" customHeight="1">
      <c r="A197" s="407"/>
      <c r="C197" s="149"/>
      <c r="D197" s="445" t="s">
        <v>277</v>
      </c>
      <c r="E197" s="445"/>
      <c r="F197" s="445"/>
      <c r="G197" s="445"/>
      <c r="H197" s="445"/>
      <c r="I197" s="77">
        <f>I185-I189</f>
        <v>0</v>
      </c>
      <c r="J197" s="77">
        <f>J185-J189</f>
        <v>0</v>
      </c>
      <c r="K197" s="77">
        <f>K185-K189</f>
        <v>0</v>
      </c>
      <c r="L197" s="80"/>
    </row>
    <row r="198" spans="1:12" s="82" customFormat="1" ht="13.5" customHeight="1">
      <c r="A198" s="407"/>
      <c r="C198" s="149"/>
      <c r="D198" s="444" t="s">
        <v>279</v>
      </c>
      <c r="E198" s="444"/>
      <c r="F198" s="444"/>
      <c r="G198" s="444"/>
      <c r="H198" s="444"/>
      <c r="I198" s="29">
        <f>I199+I200+I201</f>
        <v>0</v>
      </c>
      <c r="J198" s="29">
        <f>J199+J200+J201</f>
        <v>0</v>
      </c>
      <c r="K198" s="29">
        <f>K199+K200+K201</f>
        <v>0</v>
      </c>
      <c r="L198" s="80"/>
    </row>
    <row r="199" spans="1:12" s="82" customFormat="1" ht="13.5" customHeight="1" hidden="1">
      <c r="A199" s="407"/>
      <c r="C199" s="149"/>
      <c r="D199" s="444" t="s">
        <v>278</v>
      </c>
      <c r="E199" s="444"/>
      <c r="F199" s="444"/>
      <c r="G199" s="444"/>
      <c r="H199" s="444"/>
      <c r="I199" s="29"/>
      <c r="J199" s="77"/>
      <c r="K199" s="80">
        <f>SUM(I199:J199)</f>
        <v>0</v>
      </c>
      <c r="L199" s="80"/>
    </row>
    <row r="200" spans="1:12" s="82" customFormat="1" ht="13.5" customHeight="1" hidden="1">
      <c r="A200" s="407"/>
      <c r="C200" s="149"/>
      <c r="D200" s="444" t="s">
        <v>280</v>
      </c>
      <c r="E200" s="444"/>
      <c r="F200" s="444"/>
      <c r="G200" s="444"/>
      <c r="H200" s="444"/>
      <c r="I200" s="29"/>
      <c r="J200" s="77"/>
      <c r="K200" s="80">
        <f>SUM(I200:J200)</f>
        <v>0</v>
      </c>
      <c r="L200" s="80"/>
    </row>
    <row r="201" spans="1:12" s="82" customFormat="1" ht="13.5" customHeight="1" hidden="1">
      <c r="A201" s="407"/>
      <c r="C201" s="149"/>
      <c r="D201" s="444" t="s">
        <v>281</v>
      </c>
      <c r="E201" s="444"/>
      <c r="F201" s="444"/>
      <c r="G201" s="444"/>
      <c r="H201" s="444"/>
      <c r="I201" s="29"/>
      <c r="J201" s="77"/>
      <c r="K201" s="80">
        <f>SUM(I201:J201)</f>
        <v>0</v>
      </c>
      <c r="L201" s="80"/>
    </row>
    <row r="202" spans="1:12" s="82" customFormat="1" ht="4.5" customHeight="1" hidden="1">
      <c r="A202" s="407"/>
      <c r="C202" s="149"/>
      <c r="D202" s="85"/>
      <c r="E202" s="85"/>
      <c r="F202" s="85"/>
      <c r="G202" s="85"/>
      <c r="H202" s="85"/>
      <c r="I202" s="29"/>
      <c r="J202" s="80"/>
      <c r="K202" s="98"/>
      <c r="L202" s="80"/>
    </row>
    <row r="203" spans="1:12" s="82" customFormat="1" ht="13.5" customHeight="1">
      <c r="A203" s="407"/>
      <c r="C203" s="149"/>
      <c r="D203" s="81"/>
      <c r="E203" s="81"/>
      <c r="F203" s="81"/>
      <c r="G203" s="81"/>
      <c r="H203" s="81"/>
      <c r="I203" s="29"/>
      <c r="J203" s="80"/>
      <c r="K203" s="80"/>
      <c r="L203" s="80"/>
    </row>
    <row r="204" spans="1:13" s="99" customFormat="1" ht="26.25" customHeight="1">
      <c r="A204" s="411"/>
      <c r="C204" s="128" t="s">
        <v>82</v>
      </c>
      <c r="D204" s="435" t="s">
        <v>86</v>
      </c>
      <c r="E204" s="435"/>
      <c r="F204" s="435"/>
      <c r="G204" s="435"/>
      <c r="H204" s="435"/>
      <c r="I204" s="255">
        <f>I211+I229</f>
        <v>336486</v>
      </c>
      <c r="J204" s="255">
        <f>J211+J229</f>
        <v>-83643</v>
      </c>
      <c r="K204" s="255">
        <f>K211+K229</f>
        <v>252843</v>
      </c>
      <c r="L204" s="131"/>
      <c r="M204" s="132"/>
    </row>
    <row r="205" spans="1:12" s="82" customFormat="1" ht="10.5" customHeight="1">
      <c r="A205" s="407"/>
      <c r="C205" s="149"/>
      <c r="D205" s="81"/>
      <c r="E205" s="81"/>
      <c r="F205" s="81"/>
      <c r="G205" s="81"/>
      <c r="H205" s="81"/>
      <c r="I205" s="29"/>
      <c r="J205" s="80"/>
      <c r="K205" s="80"/>
      <c r="L205" s="80"/>
    </row>
    <row r="206" spans="1:12" s="95" customFormat="1" ht="13.5" customHeight="1">
      <c r="A206" s="407"/>
      <c r="C206" s="153" t="s">
        <v>82</v>
      </c>
      <c r="D206" s="138" t="s">
        <v>77</v>
      </c>
      <c r="E206" s="138"/>
      <c r="F206" s="138"/>
      <c r="G206" s="138"/>
      <c r="H206" s="133"/>
      <c r="I206" s="129"/>
      <c r="J206" s="127"/>
      <c r="K206" s="127"/>
      <c r="L206" s="127"/>
    </row>
    <row r="207" spans="1:12" s="82" customFormat="1" ht="13.5" customHeight="1">
      <c r="A207" s="407"/>
      <c r="C207" s="149"/>
      <c r="D207" s="447" t="s">
        <v>37</v>
      </c>
      <c r="E207" s="447"/>
      <c r="F207" s="447"/>
      <c r="G207" s="447"/>
      <c r="H207" s="447"/>
      <c r="I207" s="77">
        <f>SUM(I208:I210)</f>
        <v>233648</v>
      </c>
      <c r="J207" s="77">
        <f>SUM(J208:J210)</f>
        <v>-81078</v>
      </c>
      <c r="K207" s="77">
        <f>SUM(K208:K210)</f>
        <v>152570</v>
      </c>
      <c r="L207" s="80"/>
    </row>
    <row r="208" spans="1:12" s="82" customFormat="1" ht="12.75" customHeight="1">
      <c r="A208" s="407"/>
      <c r="C208" s="149"/>
      <c r="D208" s="446" t="s">
        <v>5</v>
      </c>
      <c r="E208" s="446"/>
      <c r="F208" s="446"/>
      <c r="G208" s="446"/>
      <c r="H208" s="446"/>
      <c r="I208" s="29">
        <f>400000-163827-2525</f>
        <v>233648</v>
      </c>
      <c r="J208" s="80">
        <f>-2728-3613-3711-2170-1275-67566-15</f>
        <v>-81078</v>
      </c>
      <c r="K208" s="80">
        <f>SUM(I208:J208)</f>
        <v>152570</v>
      </c>
      <c r="L208" s="80"/>
    </row>
    <row r="209" spans="1:12" s="82" customFormat="1" ht="13.5" customHeight="1" hidden="1">
      <c r="A209" s="407"/>
      <c r="C209" s="149"/>
      <c r="D209" s="446" t="s">
        <v>6</v>
      </c>
      <c r="E209" s="446"/>
      <c r="F209" s="446"/>
      <c r="G209" s="446"/>
      <c r="H209" s="446"/>
      <c r="I209" s="29"/>
      <c r="J209" s="80"/>
      <c r="K209" s="80">
        <f>SUM(I209:J209)</f>
        <v>0</v>
      </c>
      <c r="L209" s="80"/>
    </row>
    <row r="210" spans="1:12" s="82" customFormat="1" ht="13.5" customHeight="1" hidden="1">
      <c r="A210" s="407"/>
      <c r="C210" s="149"/>
      <c r="D210" s="446" t="s">
        <v>7</v>
      </c>
      <c r="E210" s="446"/>
      <c r="F210" s="446"/>
      <c r="G210" s="446"/>
      <c r="H210" s="446"/>
      <c r="I210" s="29"/>
      <c r="J210" s="80"/>
      <c r="K210" s="80">
        <f>SUM(I210:J210)</f>
        <v>0</v>
      </c>
      <c r="L210" s="80"/>
    </row>
    <row r="211" spans="1:12" s="82" customFormat="1" ht="12.75" customHeight="1">
      <c r="A211" s="407"/>
      <c r="C211" s="149"/>
      <c r="D211" s="447" t="s">
        <v>38</v>
      </c>
      <c r="E211" s="447"/>
      <c r="F211" s="447"/>
      <c r="G211" s="447"/>
      <c r="H211" s="447"/>
      <c r="I211" s="254">
        <f>SUM(I212:I217)</f>
        <v>233648</v>
      </c>
      <c r="J211" s="254">
        <f>SUM(J212:J217)</f>
        <v>-81078</v>
      </c>
      <c r="K211" s="254">
        <f>SUM(K212:K217)</f>
        <v>152570</v>
      </c>
      <c r="L211" s="80"/>
    </row>
    <row r="212" spans="1:12" s="82" customFormat="1" ht="13.5" customHeight="1" hidden="1">
      <c r="A212" s="407"/>
      <c r="C212" s="149"/>
      <c r="D212" s="446" t="s">
        <v>289</v>
      </c>
      <c r="E212" s="446"/>
      <c r="F212" s="446"/>
      <c r="G212" s="446"/>
      <c r="H212" s="446"/>
      <c r="I212" s="29"/>
      <c r="J212" s="80"/>
      <c r="K212" s="80">
        <f aca="true" t="shared" si="13" ref="K212:K217">SUM(I212:J212)</f>
        <v>0</v>
      </c>
      <c r="L212" s="80"/>
    </row>
    <row r="213" spans="1:12" s="82" customFormat="1" ht="12.75" customHeight="1">
      <c r="A213" s="407"/>
      <c r="C213" s="149"/>
      <c r="D213" s="444" t="s">
        <v>8</v>
      </c>
      <c r="E213" s="448"/>
      <c r="F213" s="448"/>
      <c r="G213" s="448"/>
      <c r="H213" s="448"/>
      <c r="I213" s="29">
        <f>400000-163827-2525</f>
        <v>233648</v>
      </c>
      <c r="J213" s="80">
        <f>-2728-3613-3711-2170-1275-67566-15</f>
        <v>-81078</v>
      </c>
      <c r="K213" s="80">
        <f t="shared" si="13"/>
        <v>152570</v>
      </c>
      <c r="L213" s="80"/>
    </row>
    <row r="214" spans="1:12" s="82" customFormat="1" ht="13.5" customHeight="1" hidden="1">
      <c r="A214" s="407"/>
      <c r="C214" s="149"/>
      <c r="D214" s="444" t="s">
        <v>10</v>
      </c>
      <c r="E214" s="444"/>
      <c r="F214" s="444"/>
      <c r="G214" s="444"/>
      <c r="H214" s="444"/>
      <c r="I214" s="29"/>
      <c r="J214" s="80"/>
      <c r="K214" s="80">
        <f t="shared" si="13"/>
        <v>0</v>
      </c>
      <c r="L214" s="80"/>
    </row>
    <row r="215" spans="1:12" s="82" customFormat="1" ht="13.5" customHeight="1" hidden="1">
      <c r="A215" s="407"/>
      <c r="C215" s="149"/>
      <c r="D215" s="444" t="s">
        <v>9</v>
      </c>
      <c r="E215" s="444"/>
      <c r="F215" s="444"/>
      <c r="G215" s="444"/>
      <c r="H215" s="444"/>
      <c r="I215" s="29"/>
      <c r="J215" s="80"/>
      <c r="K215" s="80">
        <f t="shared" si="13"/>
        <v>0</v>
      </c>
      <c r="L215" s="80"/>
    </row>
    <row r="216" spans="1:12" s="82" customFormat="1" ht="13.5" customHeight="1" hidden="1">
      <c r="A216" s="407"/>
      <c r="C216" s="149"/>
      <c r="D216" s="444" t="s">
        <v>11</v>
      </c>
      <c r="E216" s="444"/>
      <c r="F216" s="444"/>
      <c r="G216" s="444"/>
      <c r="H216" s="444"/>
      <c r="I216" s="29"/>
      <c r="J216" s="80"/>
      <c r="K216" s="80">
        <f t="shared" si="13"/>
        <v>0</v>
      </c>
      <c r="L216" s="80"/>
    </row>
    <row r="217" spans="1:13" s="79" customFormat="1" ht="13.5" customHeight="1" hidden="1">
      <c r="A217" s="407"/>
      <c r="C217" s="151"/>
      <c r="D217" s="444" t="s">
        <v>12</v>
      </c>
      <c r="E217" s="444"/>
      <c r="F217" s="444"/>
      <c r="G217" s="444"/>
      <c r="H217" s="444"/>
      <c r="I217" s="29"/>
      <c r="J217" s="77"/>
      <c r="K217" s="80">
        <f t="shared" si="13"/>
        <v>0</v>
      </c>
      <c r="L217" s="80"/>
      <c r="M217" s="82"/>
    </row>
    <row r="218" spans="1:13" s="79" customFormat="1" ht="13.5" customHeight="1">
      <c r="A218" s="407"/>
      <c r="C218" s="151"/>
      <c r="D218" s="445" t="s">
        <v>277</v>
      </c>
      <c r="E218" s="445"/>
      <c r="F218" s="445"/>
      <c r="G218" s="445"/>
      <c r="H218" s="445"/>
      <c r="I218" s="77">
        <f>I207-I211</f>
        <v>0</v>
      </c>
      <c r="J218" s="77">
        <f>J207-J211</f>
        <v>0</v>
      </c>
      <c r="K218" s="77">
        <f>K207-K211</f>
        <v>0</v>
      </c>
      <c r="L218" s="80"/>
      <c r="M218" s="82"/>
    </row>
    <row r="219" spans="1:13" s="79" customFormat="1" ht="12" customHeight="1">
      <c r="A219" s="407"/>
      <c r="C219" s="151"/>
      <c r="D219" s="444" t="s">
        <v>279</v>
      </c>
      <c r="E219" s="444"/>
      <c r="F219" s="444"/>
      <c r="G219" s="444"/>
      <c r="H219" s="444"/>
      <c r="I219" s="29">
        <f>I220+I221+I222</f>
        <v>0</v>
      </c>
      <c r="J219" s="29">
        <f>J220+J221+J222</f>
        <v>0</v>
      </c>
      <c r="K219" s="29">
        <f>K220+K221+K222</f>
        <v>0</v>
      </c>
      <c r="L219" s="80"/>
      <c r="M219" s="82"/>
    </row>
    <row r="220" spans="1:13" s="79" customFormat="1" ht="13.5" customHeight="1" hidden="1">
      <c r="A220" s="407"/>
      <c r="C220" s="151"/>
      <c r="D220" s="444" t="s">
        <v>278</v>
      </c>
      <c r="E220" s="444"/>
      <c r="F220" s="444"/>
      <c r="G220" s="444"/>
      <c r="H220" s="444"/>
      <c r="I220" s="29"/>
      <c r="J220" s="77"/>
      <c r="K220" s="80">
        <f>SUM(I220:J220)</f>
        <v>0</v>
      </c>
      <c r="L220" s="80"/>
      <c r="M220" s="82"/>
    </row>
    <row r="221" spans="1:13" s="79" customFormat="1" ht="13.5" customHeight="1" hidden="1">
      <c r="A221" s="407"/>
      <c r="C221" s="151"/>
      <c r="D221" s="444" t="s">
        <v>280</v>
      </c>
      <c r="E221" s="444"/>
      <c r="F221" s="444"/>
      <c r="G221" s="444"/>
      <c r="H221" s="444"/>
      <c r="I221" s="29"/>
      <c r="J221" s="77"/>
      <c r="K221" s="80">
        <f>SUM(I221:J221)</f>
        <v>0</v>
      </c>
      <c r="L221" s="80"/>
      <c r="M221" s="82"/>
    </row>
    <row r="222" spans="1:13" s="79" customFormat="1" ht="13.5" customHeight="1" hidden="1">
      <c r="A222" s="407"/>
      <c r="C222" s="151"/>
      <c r="D222" s="444" t="s">
        <v>281</v>
      </c>
      <c r="E222" s="444"/>
      <c r="F222" s="444"/>
      <c r="G222" s="444"/>
      <c r="H222" s="444"/>
      <c r="I222" s="29"/>
      <c r="J222" s="77"/>
      <c r="K222" s="80">
        <f>SUM(I222:J222)</f>
        <v>0</v>
      </c>
      <c r="L222" s="80"/>
      <c r="M222" s="82"/>
    </row>
    <row r="223" spans="1:13" s="79" customFormat="1" ht="7.5" customHeight="1">
      <c r="A223" s="407"/>
      <c r="C223" s="151"/>
      <c r="D223" s="85"/>
      <c r="E223" s="85"/>
      <c r="F223" s="85"/>
      <c r="G223" s="85"/>
      <c r="H223" s="85"/>
      <c r="I223" s="29"/>
      <c r="J223" s="77"/>
      <c r="K223" s="80"/>
      <c r="L223" s="80"/>
      <c r="M223" s="82"/>
    </row>
    <row r="224" spans="1:12" s="95" customFormat="1" ht="13.5" customHeight="1">
      <c r="A224" s="407"/>
      <c r="C224" s="153" t="s">
        <v>82</v>
      </c>
      <c r="D224" s="449" t="s">
        <v>78</v>
      </c>
      <c r="E224" s="449"/>
      <c r="F224" s="449"/>
      <c r="G224" s="449"/>
      <c r="H224" s="449"/>
      <c r="I224" s="129"/>
      <c r="J224" s="127"/>
      <c r="K224" s="127"/>
      <c r="L224" s="127"/>
    </row>
    <row r="225" spans="1:12" s="82" customFormat="1" ht="13.5" customHeight="1">
      <c r="A225" s="407"/>
      <c r="C225" s="149"/>
      <c r="D225" s="447" t="s">
        <v>37</v>
      </c>
      <c r="E225" s="447"/>
      <c r="F225" s="447"/>
      <c r="G225" s="447"/>
      <c r="H225" s="447"/>
      <c r="I225" s="77">
        <f>SUM(I226:I228)</f>
        <v>102637</v>
      </c>
      <c r="J225" s="77">
        <f>SUM(J226:J228)</f>
        <v>-2565</v>
      </c>
      <c r="K225" s="77">
        <f>SUM(K226:K228)</f>
        <v>100072</v>
      </c>
      <c r="L225" s="80"/>
    </row>
    <row r="226" spans="1:12" s="82" customFormat="1" ht="12" customHeight="1">
      <c r="A226" s="407"/>
      <c r="C226" s="149"/>
      <c r="D226" s="446" t="s">
        <v>5</v>
      </c>
      <c r="E226" s="446"/>
      <c r="F226" s="446"/>
      <c r="G226" s="446"/>
      <c r="H226" s="446"/>
      <c r="I226" s="29">
        <f>73791+26209-23380</f>
        <v>76620</v>
      </c>
      <c r="J226" s="80">
        <f>-1968-597</f>
        <v>-2565</v>
      </c>
      <c r="K226" s="80">
        <f>SUM(I226:J226)</f>
        <v>74055</v>
      </c>
      <c r="L226" s="80"/>
    </row>
    <row r="227" spans="1:12" s="82" customFormat="1" ht="13.5" customHeight="1" hidden="1">
      <c r="A227" s="407"/>
      <c r="C227" s="149"/>
      <c r="D227" s="446" t="s">
        <v>6</v>
      </c>
      <c r="E227" s="446"/>
      <c r="F227" s="446"/>
      <c r="G227" s="446"/>
      <c r="H227" s="446"/>
      <c r="I227" s="29"/>
      <c r="J227" s="80"/>
      <c r="K227" s="80">
        <f>SUM(I227:J227)</f>
        <v>0</v>
      </c>
      <c r="L227" s="80"/>
    </row>
    <row r="228" spans="1:12" s="82" customFormat="1" ht="13.5" customHeight="1">
      <c r="A228" s="407"/>
      <c r="C228" s="149"/>
      <c r="D228" s="446" t="s">
        <v>7</v>
      </c>
      <c r="E228" s="446"/>
      <c r="F228" s="446"/>
      <c r="G228" s="446"/>
      <c r="H228" s="446"/>
      <c r="I228" s="29">
        <f>17669+624+7724</f>
        <v>26017</v>
      </c>
      <c r="J228" s="80"/>
      <c r="K228" s="80">
        <f>SUM(I228:J228)</f>
        <v>26017</v>
      </c>
      <c r="L228" s="80"/>
    </row>
    <row r="229" spans="1:12" s="82" customFormat="1" ht="13.5" customHeight="1">
      <c r="A229" s="407"/>
      <c r="C229" s="149"/>
      <c r="D229" s="447" t="s">
        <v>38</v>
      </c>
      <c r="E229" s="447"/>
      <c r="F229" s="447"/>
      <c r="G229" s="447"/>
      <c r="H229" s="447"/>
      <c r="I229" s="254">
        <f>SUM(I230:I235)</f>
        <v>102838</v>
      </c>
      <c r="J229" s="254">
        <f>SUM(J230:J235)</f>
        <v>-2565</v>
      </c>
      <c r="K229" s="254">
        <f>SUM(K230:K235)</f>
        <v>100273</v>
      </c>
      <c r="L229" s="80"/>
    </row>
    <row r="230" spans="1:12" s="82" customFormat="1" ht="13.5" customHeight="1" hidden="1">
      <c r="A230" s="407"/>
      <c r="C230" s="149"/>
      <c r="D230" s="446" t="s">
        <v>289</v>
      </c>
      <c r="E230" s="446"/>
      <c r="F230" s="446"/>
      <c r="G230" s="446"/>
      <c r="H230" s="446"/>
      <c r="I230" s="29"/>
      <c r="J230" s="80"/>
      <c r="K230" s="80">
        <f aca="true" t="shared" si="14" ref="K230:K235">SUM(I230:J230)</f>
        <v>0</v>
      </c>
      <c r="L230" s="80"/>
    </row>
    <row r="231" spans="1:12" s="82" customFormat="1" ht="12.75" customHeight="1">
      <c r="A231" s="407"/>
      <c r="C231" s="149"/>
      <c r="D231" s="444" t="s">
        <v>8</v>
      </c>
      <c r="E231" s="448"/>
      <c r="F231" s="448"/>
      <c r="G231" s="448"/>
      <c r="H231" s="448"/>
      <c r="I231" s="29">
        <f>73791+18438+7771+7+2+26209-23380</f>
        <v>102838</v>
      </c>
      <c r="J231" s="80">
        <f>-1968-597</f>
        <v>-2565</v>
      </c>
      <c r="K231" s="80">
        <f t="shared" si="14"/>
        <v>100273</v>
      </c>
      <c r="L231" s="80"/>
    </row>
    <row r="232" spans="1:12" s="82" customFormat="1" ht="13.5" customHeight="1" hidden="1">
      <c r="A232" s="407"/>
      <c r="C232" s="149"/>
      <c r="D232" s="444" t="s">
        <v>10</v>
      </c>
      <c r="E232" s="444"/>
      <c r="F232" s="444"/>
      <c r="G232" s="444"/>
      <c r="H232" s="444"/>
      <c r="I232" s="29"/>
      <c r="J232" s="80"/>
      <c r="K232" s="80">
        <f t="shared" si="14"/>
        <v>0</v>
      </c>
      <c r="L232" s="80"/>
    </row>
    <row r="233" spans="1:12" s="82" customFormat="1" ht="13.5" customHeight="1" hidden="1">
      <c r="A233" s="407"/>
      <c r="C233" s="151"/>
      <c r="D233" s="444" t="s">
        <v>9</v>
      </c>
      <c r="E233" s="444"/>
      <c r="F233" s="444"/>
      <c r="G233" s="444"/>
      <c r="H233" s="444"/>
      <c r="I233" s="29"/>
      <c r="J233" s="77"/>
      <c r="K233" s="80">
        <f t="shared" si="14"/>
        <v>0</v>
      </c>
      <c r="L233" s="80"/>
    </row>
    <row r="234" spans="1:12" s="82" customFormat="1" ht="13.5" customHeight="1" hidden="1">
      <c r="A234" s="407"/>
      <c r="C234" s="149"/>
      <c r="D234" s="444" t="s">
        <v>11</v>
      </c>
      <c r="E234" s="444"/>
      <c r="F234" s="444"/>
      <c r="G234" s="444"/>
      <c r="H234" s="444"/>
      <c r="I234" s="29"/>
      <c r="J234" s="80"/>
      <c r="K234" s="80">
        <f t="shared" si="14"/>
        <v>0</v>
      </c>
      <c r="L234" s="80"/>
    </row>
    <row r="235" spans="1:12" s="82" customFormat="1" ht="13.5" customHeight="1" hidden="1">
      <c r="A235" s="407"/>
      <c r="C235" s="151"/>
      <c r="D235" s="444" t="s">
        <v>12</v>
      </c>
      <c r="E235" s="444"/>
      <c r="F235" s="444"/>
      <c r="G235" s="444"/>
      <c r="H235" s="444"/>
      <c r="I235" s="29"/>
      <c r="J235" s="77"/>
      <c r="K235" s="80">
        <f t="shared" si="14"/>
        <v>0</v>
      </c>
      <c r="L235" s="80"/>
    </row>
    <row r="236" spans="1:13" s="79" customFormat="1" ht="13.5" customHeight="1">
      <c r="A236" s="407"/>
      <c r="C236" s="151"/>
      <c r="D236" s="445" t="s">
        <v>277</v>
      </c>
      <c r="E236" s="445"/>
      <c r="F236" s="445"/>
      <c r="G236" s="445"/>
      <c r="H236" s="445"/>
      <c r="I236" s="77">
        <f>I225-I229</f>
        <v>-201</v>
      </c>
      <c r="J236" s="77">
        <f>J225-J229</f>
        <v>0</v>
      </c>
      <c r="K236" s="77">
        <f>K225-K229</f>
        <v>-201</v>
      </c>
      <c r="L236" s="80"/>
      <c r="M236" s="82"/>
    </row>
    <row r="237" spans="1:12" s="82" customFormat="1" ht="13.5" customHeight="1">
      <c r="A237" s="407"/>
      <c r="C237" s="151"/>
      <c r="D237" s="444" t="s">
        <v>279</v>
      </c>
      <c r="E237" s="444"/>
      <c r="F237" s="444"/>
      <c r="G237" s="444"/>
      <c r="H237" s="444"/>
      <c r="I237" s="29">
        <f>I238+I239+I240</f>
        <v>201</v>
      </c>
      <c r="J237" s="29">
        <f>J238+J239+J240</f>
        <v>0</v>
      </c>
      <c r="K237" s="29">
        <f>K238+K239+K240</f>
        <v>201</v>
      </c>
      <c r="L237" s="80"/>
    </row>
    <row r="238" spans="1:12" s="82" customFormat="1" ht="12" customHeight="1">
      <c r="A238" s="407"/>
      <c r="C238" s="151"/>
      <c r="D238" s="444" t="s">
        <v>278</v>
      </c>
      <c r="E238" s="444"/>
      <c r="F238" s="444"/>
      <c r="G238" s="444"/>
      <c r="H238" s="444"/>
      <c r="I238" s="29">
        <f>145+47+7+2</f>
        <v>201</v>
      </c>
      <c r="J238" s="77"/>
      <c r="K238" s="80">
        <f>SUM(I238:J238)</f>
        <v>201</v>
      </c>
      <c r="L238" s="80"/>
    </row>
    <row r="239" spans="1:12" s="82" customFormat="1" ht="13.5" customHeight="1" hidden="1">
      <c r="A239" s="407"/>
      <c r="C239" s="151"/>
      <c r="D239" s="444" t="s">
        <v>280</v>
      </c>
      <c r="E239" s="444"/>
      <c r="F239" s="444"/>
      <c r="G239" s="444"/>
      <c r="H239" s="444"/>
      <c r="I239" s="29"/>
      <c r="J239" s="77"/>
      <c r="K239" s="80">
        <f>SUM(I239:J239)</f>
        <v>0</v>
      </c>
      <c r="L239" s="80"/>
    </row>
    <row r="240" spans="1:12" s="82" customFormat="1" ht="13.5" customHeight="1" hidden="1">
      <c r="A240" s="407"/>
      <c r="C240" s="151"/>
      <c r="D240" s="444" t="s">
        <v>281</v>
      </c>
      <c r="E240" s="444"/>
      <c r="F240" s="444"/>
      <c r="G240" s="444"/>
      <c r="H240" s="444"/>
      <c r="I240" s="29"/>
      <c r="J240" s="77"/>
      <c r="K240" s="80">
        <f>SUM(I240:J240)</f>
        <v>0</v>
      </c>
      <c r="L240" s="80"/>
    </row>
    <row r="241" spans="1:12" s="82" customFormat="1" ht="6.75" customHeight="1">
      <c r="A241" s="407"/>
      <c r="C241" s="149"/>
      <c r="D241" s="81"/>
      <c r="E241" s="81"/>
      <c r="F241" s="81"/>
      <c r="G241" s="81"/>
      <c r="H241" s="81"/>
      <c r="I241" s="29"/>
      <c r="J241" s="80"/>
      <c r="K241" s="29"/>
      <c r="L241" s="80"/>
    </row>
    <row r="242" spans="1:12" ht="13.5" customHeight="1">
      <c r="A242" s="409">
        <f>'2.pielikums'!J46-'3.pielik.'!K242</f>
        <v>0</v>
      </c>
      <c r="C242" s="150" t="s">
        <v>40</v>
      </c>
      <c r="D242" s="437" t="s">
        <v>87</v>
      </c>
      <c r="E242" s="437"/>
      <c r="F242" s="437"/>
      <c r="G242" s="437"/>
      <c r="H242" s="437"/>
      <c r="I242" s="134">
        <f>I249+I287+I325+I268+I306</f>
        <v>541064</v>
      </c>
      <c r="J242" s="134">
        <f>J249+J287+J325+J268+J306</f>
        <v>54511</v>
      </c>
      <c r="K242" s="134">
        <f>K249+K287+K325+K268+K306</f>
        <v>595575</v>
      </c>
      <c r="L242" s="93"/>
    </row>
    <row r="243" spans="1:13" s="15" customFormat="1" ht="6" customHeight="1">
      <c r="A243" s="407"/>
      <c r="C243" s="151"/>
      <c r="D243" s="16"/>
      <c r="E243" s="16"/>
      <c r="F243" s="16"/>
      <c r="G243" s="16"/>
      <c r="H243" s="16"/>
      <c r="I243" s="77"/>
      <c r="J243" s="78"/>
      <c r="K243" s="78"/>
      <c r="L243" s="127"/>
      <c r="M243" s="95"/>
    </row>
    <row r="244" spans="1:13" s="15" customFormat="1" ht="13.5" customHeight="1">
      <c r="A244" s="407"/>
      <c r="C244" s="142" t="s">
        <v>123</v>
      </c>
      <c r="D244" s="450" t="s">
        <v>42</v>
      </c>
      <c r="E244" s="450"/>
      <c r="F244" s="450"/>
      <c r="G244" s="450"/>
      <c r="H244" s="450"/>
      <c r="I244" s="17"/>
      <c r="J244" s="126"/>
      <c r="K244" s="126"/>
      <c r="L244" s="127"/>
      <c r="M244" s="95"/>
    </row>
    <row r="245" spans="1:13" s="15" customFormat="1" ht="13.5" customHeight="1">
      <c r="A245" s="407"/>
      <c r="C245" s="154"/>
      <c r="D245" s="447" t="s">
        <v>37</v>
      </c>
      <c r="E245" s="447"/>
      <c r="F245" s="447"/>
      <c r="G245" s="447"/>
      <c r="H245" s="447"/>
      <c r="I245" s="77">
        <f>SUM(I246:I248)</f>
        <v>408971</v>
      </c>
      <c r="J245" s="77">
        <f>SUM(J246:J248)</f>
        <v>37268</v>
      </c>
      <c r="K245" s="77">
        <f>SUM(K246:K248)</f>
        <v>446239</v>
      </c>
      <c r="L245" s="127"/>
      <c r="M245" s="95"/>
    </row>
    <row r="246" spans="1:13" s="15" customFormat="1" ht="12" customHeight="1">
      <c r="A246" s="407"/>
      <c r="C246" s="154"/>
      <c r="D246" s="446" t="s">
        <v>5</v>
      </c>
      <c r="E246" s="446"/>
      <c r="F246" s="446"/>
      <c r="G246" s="446"/>
      <c r="H246" s="446"/>
      <c r="I246" s="29">
        <f>408198+773</f>
        <v>408971</v>
      </c>
      <c r="J246" s="80">
        <f>33806+3462</f>
        <v>37268</v>
      </c>
      <c r="K246" s="80">
        <f>SUM(I246:J246)</f>
        <v>446239</v>
      </c>
      <c r="L246" s="127"/>
      <c r="M246" s="95"/>
    </row>
    <row r="247" spans="1:13" s="15" customFormat="1" ht="13.5" customHeight="1" hidden="1">
      <c r="A247" s="407"/>
      <c r="C247" s="154"/>
      <c r="D247" s="446" t="s">
        <v>6</v>
      </c>
      <c r="E247" s="446"/>
      <c r="F247" s="446"/>
      <c r="G247" s="446"/>
      <c r="H247" s="446"/>
      <c r="I247" s="29"/>
      <c r="J247" s="78"/>
      <c r="K247" s="80">
        <f>SUM(I247:J247)</f>
        <v>0</v>
      </c>
      <c r="L247" s="127"/>
      <c r="M247" s="95"/>
    </row>
    <row r="248" spans="1:13" s="15" customFormat="1" ht="13.5" customHeight="1" hidden="1">
      <c r="A248" s="407"/>
      <c r="C248" s="154"/>
      <c r="D248" s="446" t="s">
        <v>7</v>
      </c>
      <c r="E248" s="446"/>
      <c r="F248" s="446"/>
      <c r="G248" s="446"/>
      <c r="H248" s="446"/>
      <c r="I248" s="29"/>
      <c r="J248" s="78"/>
      <c r="K248" s="80">
        <f>SUM(I248:J248)</f>
        <v>0</v>
      </c>
      <c r="L248" s="127"/>
      <c r="M248" s="95"/>
    </row>
    <row r="249" spans="1:13" s="15" customFormat="1" ht="13.5" customHeight="1">
      <c r="A249" s="407"/>
      <c r="C249" s="154"/>
      <c r="D249" s="447" t="s">
        <v>38</v>
      </c>
      <c r="E249" s="447"/>
      <c r="F249" s="447"/>
      <c r="G249" s="447"/>
      <c r="H249" s="447"/>
      <c r="I249" s="253">
        <f>SUM(I250:I255)</f>
        <v>402531</v>
      </c>
      <c r="J249" s="253">
        <f>SUM(J250:J255)</f>
        <v>37268</v>
      </c>
      <c r="K249" s="253">
        <f>SUM(K250:K255)</f>
        <v>439799</v>
      </c>
      <c r="L249" s="127"/>
      <c r="M249" s="95"/>
    </row>
    <row r="250" spans="1:13" s="15" customFormat="1" ht="13.5" customHeight="1">
      <c r="A250" s="407"/>
      <c r="C250" s="154"/>
      <c r="D250" s="446" t="s">
        <v>289</v>
      </c>
      <c r="E250" s="446"/>
      <c r="F250" s="446"/>
      <c r="G250" s="446"/>
      <c r="H250" s="446"/>
      <c r="I250" s="29">
        <f>283936+68400-1219</f>
        <v>351117</v>
      </c>
      <c r="J250" s="80">
        <f>33663+3462</f>
        <v>37125</v>
      </c>
      <c r="K250" s="80">
        <f aca="true" t="shared" si="15" ref="K250:K255">SUM(I250:J250)</f>
        <v>388242</v>
      </c>
      <c r="L250" s="127"/>
      <c r="M250" s="95"/>
    </row>
    <row r="251" spans="1:13" s="15" customFormat="1" ht="12.75" customHeight="1">
      <c r="A251" s="407"/>
      <c r="C251" s="154"/>
      <c r="D251" s="444" t="s">
        <v>8</v>
      </c>
      <c r="E251" s="448"/>
      <c r="F251" s="448"/>
      <c r="G251" s="448"/>
      <c r="H251" s="448"/>
      <c r="I251" s="29">
        <f>47401+1219+773</f>
        <v>49393</v>
      </c>
      <c r="J251" s="80">
        <f>143</f>
        <v>143</v>
      </c>
      <c r="K251" s="80">
        <f t="shared" si="15"/>
        <v>49536</v>
      </c>
      <c r="L251" s="127"/>
      <c r="M251" s="95"/>
    </row>
    <row r="252" spans="1:13" s="15" customFormat="1" ht="13.5" customHeight="1" hidden="1">
      <c r="A252" s="407"/>
      <c r="C252" s="154"/>
      <c r="D252" s="444" t="s">
        <v>10</v>
      </c>
      <c r="E252" s="444"/>
      <c r="F252" s="444"/>
      <c r="G252" s="444"/>
      <c r="H252" s="444"/>
      <c r="I252" s="29"/>
      <c r="J252" s="80"/>
      <c r="K252" s="80">
        <f t="shared" si="15"/>
        <v>0</v>
      </c>
      <c r="L252" s="127"/>
      <c r="M252" s="95"/>
    </row>
    <row r="253" spans="1:13" s="15" customFormat="1" ht="13.5" customHeight="1">
      <c r="A253" s="407"/>
      <c r="C253" s="154"/>
      <c r="D253" s="444" t="s">
        <v>9</v>
      </c>
      <c r="E253" s="444"/>
      <c r="F253" s="444"/>
      <c r="G253" s="444"/>
      <c r="H253" s="444"/>
      <c r="I253" s="29">
        <v>871</v>
      </c>
      <c r="J253" s="80"/>
      <c r="K253" s="80">
        <f t="shared" si="15"/>
        <v>871</v>
      </c>
      <c r="L253" s="127"/>
      <c r="M253" s="95"/>
    </row>
    <row r="254" spans="1:13" s="15" customFormat="1" ht="13.5" customHeight="1">
      <c r="A254" s="407"/>
      <c r="C254" s="154"/>
      <c r="D254" s="444" t="s">
        <v>11</v>
      </c>
      <c r="E254" s="444"/>
      <c r="F254" s="444"/>
      <c r="G254" s="444"/>
      <c r="H254" s="444"/>
      <c r="I254" s="29">
        <v>1150</v>
      </c>
      <c r="J254" s="80"/>
      <c r="K254" s="80">
        <f t="shared" si="15"/>
        <v>1150</v>
      </c>
      <c r="L254" s="127"/>
      <c r="M254" s="95"/>
    </row>
    <row r="255" spans="1:13" s="79" customFormat="1" ht="13.5" customHeight="1" hidden="1">
      <c r="A255" s="407"/>
      <c r="C255" s="151"/>
      <c r="D255" s="444" t="s">
        <v>12</v>
      </c>
      <c r="E255" s="444"/>
      <c r="F255" s="444"/>
      <c r="G255" s="444"/>
      <c r="H255" s="444"/>
      <c r="I255" s="29"/>
      <c r="J255" s="29"/>
      <c r="K255" s="80">
        <f t="shared" si="15"/>
        <v>0</v>
      </c>
      <c r="L255" s="80"/>
      <c r="M255" s="82"/>
    </row>
    <row r="256" spans="1:13" s="79" customFormat="1" ht="13.5" customHeight="1">
      <c r="A256" s="407"/>
      <c r="C256" s="151"/>
      <c r="D256" s="445" t="s">
        <v>277</v>
      </c>
      <c r="E256" s="445"/>
      <c r="F256" s="445"/>
      <c r="G256" s="445"/>
      <c r="H256" s="445"/>
      <c r="I256" s="77">
        <f>I245-I249</f>
        <v>6440</v>
      </c>
      <c r="J256" s="77">
        <f>J245-J249</f>
        <v>0</v>
      </c>
      <c r="K256" s="77">
        <f>K245-K249</f>
        <v>6440</v>
      </c>
      <c r="L256" s="80"/>
      <c r="M256" s="82"/>
    </row>
    <row r="257" spans="1:13" s="79" customFormat="1" ht="13.5" customHeight="1">
      <c r="A257" s="407"/>
      <c r="C257" s="151"/>
      <c r="D257" s="444" t="s">
        <v>279</v>
      </c>
      <c r="E257" s="444"/>
      <c r="F257" s="444"/>
      <c r="G257" s="444"/>
      <c r="H257" s="444"/>
      <c r="I257" s="29">
        <f>I258+I259+I260</f>
        <v>-6440</v>
      </c>
      <c r="J257" s="29">
        <f>J258+J259+J260</f>
        <v>0</v>
      </c>
      <c r="K257" s="29">
        <f>K258+K259+K260</f>
        <v>-6440</v>
      </c>
      <c r="L257" s="80"/>
      <c r="M257" s="82"/>
    </row>
    <row r="258" spans="1:13" s="79" customFormat="1" ht="13.5" customHeight="1" hidden="1">
      <c r="A258" s="407"/>
      <c r="C258" s="151"/>
      <c r="D258" s="444" t="s">
        <v>278</v>
      </c>
      <c r="E258" s="444"/>
      <c r="F258" s="444"/>
      <c r="G258" s="444"/>
      <c r="H258" s="444"/>
      <c r="I258" s="29">
        <v>0</v>
      </c>
      <c r="J258" s="77"/>
      <c r="K258" s="80">
        <f>SUM(I258:J258)</f>
        <v>0</v>
      </c>
      <c r="L258" s="80"/>
      <c r="M258" s="82"/>
    </row>
    <row r="259" spans="1:13" s="79" customFormat="1" ht="13.5" customHeight="1" hidden="1">
      <c r="A259" s="407"/>
      <c r="C259" s="151"/>
      <c r="D259" s="444" t="s">
        <v>280</v>
      </c>
      <c r="E259" s="444"/>
      <c r="F259" s="444"/>
      <c r="G259" s="444"/>
      <c r="H259" s="444"/>
      <c r="I259" s="29"/>
      <c r="J259" s="77"/>
      <c r="K259" s="80">
        <f>SUM(I259:J259)</f>
        <v>0</v>
      </c>
      <c r="L259" s="80"/>
      <c r="M259" s="82"/>
    </row>
    <row r="260" spans="1:13" s="79" customFormat="1" ht="13.5" customHeight="1">
      <c r="A260" s="407"/>
      <c r="C260" s="151"/>
      <c r="D260" s="444" t="s">
        <v>281</v>
      </c>
      <c r="E260" s="444"/>
      <c r="F260" s="444"/>
      <c r="G260" s="444"/>
      <c r="H260" s="444"/>
      <c r="I260" s="29">
        <v>-6440</v>
      </c>
      <c r="J260" s="77"/>
      <c r="K260" s="80">
        <f>SUM(I260:J260)</f>
        <v>-6440</v>
      </c>
      <c r="L260" s="80"/>
      <c r="M260" s="82"/>
    </row>
    <row r="261" spans="1:13" s="79" customFormat="1" ht="9.75" customHeight="1">
      <c r="A261" s="407"/>
      <c r="C261" s="151"/>
      <c r="D261" s="85"/>
      <c r="E261" s="85"/>
      <c r="F261" s="85"/>
      <c r="G261" s="85"/>
      <c r="H261" s="85"/>
      <c r="I261" s="29"/>
      <c r="J261" s="77"/>
      <c r="K261" s="80"/>
      <c r="L261" s="80"/>
      <c r="M261" s="82"/>
    </row>
    <row r="262" spans="1:13" s="79" customFormat="1" ht="4.5" customHeight="1" hidden="1">
      <c r="A262" s="407"/>
      <c r="C262" s="151"/>
      <c r="D262" s="85"/>
      <c r="E262" s="85"/>
      <c r="F262" s="85"/>
      <c r="G262" s="85"/>
      <c r="H262" s="85"/>
      <c r="I262" s="29"/>
      <c r="J262" s="29"/>
      <c r="K262" s="80"/>
      <c r="L262" s="80"/>
      <c r="M262" s="82"/>
    </row>
    <row r="263" spans="1:13" s="79" customFormat="1" ht="13.5" customHeight="1">
      <c r="A263" s="407"/>
      <c r="C263" s="142" t="s">
        <v>394</v>
      </c>
      <c r="D263" s="450" t="s">
        <v>291</v>
      </c>
      <c r="E263" s="450"/>
      <c r="F263" s="450"/>
      <c r="G263" s="450"/>
      <c r="H263" s="450"/>
      <c r="I263" s="17"/>
      <c r="J263" s="126"/>
      <c r="K263" s="126"/>
      <c r="L263" s="80"/>
      <c r="M263" s="82"/>
    </row>
    <row r="264" spans="1:13" s="79" customFormat="1" ht="13.5" customHeight="1">
      <c r="A264" s="407"/>
      <c r="C264" s="154"/>
      <c r="D264" s="447" t="s">
        <v>37</v>
      </c>
      <c r="E264" s="447"/>
      <c r="F264" s="447"/>
      <c r="G264" s="447"/>
      <c r="H264" s="447"/>
      <c r="I264" s="77">
        <f>SUM(I265:I267)</f>
        <v>61057</v>
      </c>
      <c r="J264" s="77">
        <f>SUM(J265:J267)</f>
        <v>5500</v>
      </c>
      <c r="K264" s="77">
        <f>SUM(K265:K267)</f>
        <v>66557</v>
      </c>
      <c r="L264" s="80"/>
      <c r="M264" s="82"/>
    </row>
    <row r="265" spans="1:13" s="79" customFormat="1" ht="12.75" customHeight="1">
      <c r="A265" s="407"/>
      <c r="C265" s="154"/>
      <c r="D265" s="446" t="s">
        <v>5</v>
      </c>
      <c r="E265" s="446"/>
      <c r="F265" s="446"/>
      <c r="G265" s="446"/>
      <c r="H265" s="446"/>
      <c r="I265" s="29">
        <v>61057</v>
      </c>
      <c r="J265" s="80">
        <f>5500</f>
        <v>5500</v>
      </c>
      <c r="K265" s="80">
        <f>SUM(I265:J265)</f>
        <v>66557</v>
      </c>
      <c r="L265" s="80"/>
      <c r="M265" s="82"/>
    </row>
    <row r="266" spans="1:13" s="79" customFormat="1" ht="13.5" customHeight="1" hidden="1">
      <c r="A266" s="407"/>
      <c r="C266" s="154"/>
      <c r="D266" s="446" t="s">
        <v>6</v>
      </c>
      <c r="E266" s="446"/>
      <c r="F266" s="446"/>
      <c r="G266" s="446"/>
      <c r="H266" s="446"/>
      <c r="I266" s="29"/>
      <c r="J266" s="80"/>
      <c r="K266" s="80">
        <f>SUM(I266:J266)</f>
        <v>0</v>
      </c>
      <c r="L266" s="80"/>
      <c r="M266" s="82"/>
    </row>
    <row r="267" spans="1:13" s="79" customFormat="1" ht="13.5" customHeight="1" hidden="1">
      <c r="A267" s="407"/>
      <c r="C267" s="154"/>
      <c r="D267" s="446" t="s">
        <v>7</v>
      </c>
      <c r="E267" s="446"/>
      <c r="F267" s="446"/>
      <c r="G267" s="446"/>
      <c r="H267" s="446"/>
      <c r="I267" s="29"/>
      <c r="J267" s="80"/>
      <c r="K267" s="80">
        <f>SUM(I267:J267)</f>
        <v>0</v>
      </c>
      <c r="L267" s="80"/>
      <c r="M267" s="82"/>
    </row>
    <row r="268" spans="1:13" s="79" customFormat="1" ht="13.5" customHeight="1">
      <c r="A268" s="407"/>
      <c r="C268" s="154"/>
      <c r="D268" s="447" t="s">
        <v>38</v>
      </c>
      <c r="E268" s="447"/>
      <c r="F268" s="447"/>
      <c r="G268" s="447"/>
      <c r="H268" s="447"/>
      <c r="I268" s="253">
        <f>SUM(I269:I274)</f>
        <v>61057</v>
      </c>
      <c r="J268" s="253">
        <f>SUM(J269:J274)</f>
        <v>5500</v>
      </c>
      <c r="K268" s="253">
        <f>SUM(K269:K274)</f>
        <v>66557</v>
      </c>
      <c r="L268" s="80"/>
      <c r="M268" s="82"/>
    </row>
    <row r="269" spans="1:13" s="79" customFormat="1" ht="13.5" customHeight="1" hidden="1">
      <c r="A269" s="407"/>
      <c r="C269" s="154"/>
      <c r="D269" s="446" t="s">
        <v>289</v>
      </c>
      <c r="E269" s="446"/>
      <c r="F269" s="446"/>
      <c r="G269" s="446"/>
      <c r="H269" s="446"/>
      <c r="I269" s="29"/>
      <c r="J269" s="80"/>
      <c r="K269" s="80">
        <f aca="true" t="shared" si="16" ref="K269:K274">SUM(I269:J269)</f>
        <v>0</v>
      </c>
      <c r="L269" s="80"/>
      <c r="M269" s="82"/>
    </row>
    <row r="270" spans="1:13" s="79" customFormat="1" ht="12.75" customHeight="1">
      <c r="A270" s="407"/>
      <c r="C270" s="154"/>
      <c r="D270" s="444" t="s">
        <v>8</v>
      </c>
      <c r="E270" s="448"/>
      <c r="F270" s="448"/>
      <c r="G270" s="448"/>
      <c r="H270" s="448"/>
      <c r="I270" s="29">
        <v>61057</v>
      </c>
      <c r="J270" s="80">
        <f>5500</f>
        <v>5500</v>
      </c>
      <c r="K270" s="80">
        <f t="shared" si="16"/>
        <v>66557</v>
      </c>
      <c r="L270" s="80"/>
      <c r="M270" s="82"/>
    </row>
    <row r="271" spans="1:13" s="79" customFormat="1" ht="13.5" customHeight="1" hidden="1">
      <c r="A271" s="407"/>
      <c r="C271" s="154"/>
      <c r="D271" s="444" t="s">
        <v>10</v>
      </c>
      <c r="E271" s="444"/>
      <c r="F271" s="444"/>
      <c r="G271" s="444"/>
      <c r="H271" s="444"/>
      <c r="I271" s="29"/>
      <c r="J271" s="78"/>
      <c r="K271" s="80">
        <f t="shared" si="16"/>
        <v>0</v>
      </c>
      <c r="L271" s="80"/>
      <c r="M271" s="82"/>
    </row>
    <row r="272" spans="1:13" s="79" customFormat="1" ht="13.5" customHeight="1" hidden="1">
      <c r="A272" s="407"/>
      <c r="C272" s="154"/>
      <c r="D272" s="444" t="s">
        <v>9</v>
      </c>
      <c r="E272" s="444"/>
      <c r="F272" s="444"/>
      <c r="G272" s="444"/>
      <c r="H272" s="444"/>
      <c r="I272" s="29"/>
      <c r="J272" s="78"/>
      <c r="K272" s="80">
        <f t="shared" si="16"/>
        <v>0</v>
      </c>
      <c r="L272" s="80"/>
      <c r="M272" s="82"/>
    </row>
    <row r="273" spans="1:13" s="79" customFormat="1" ht="13.5" customHeight="1" hidden="1">
      <c r="A273" s="407"/>
      <c r="C273" s="154"/>
      <c r="D273" s="444" t="s">
        <v>11</v>
      </c>
      <c r="E273" s="444"/>
      <c r="F273" s="444"/>
      <c r="G273" s="444"/>
      <c r="H273" s="444"/>
      <c r="I273" s="29"/>
      <c r="J273" s="78"/>
      <c r="K273" s="80">
        <f t="shared" si="16"/>
        <v>0</v>
      </c>
      <c r="L273" s="80"/>
      <c r="M273" s="82"/>
    </row>
    <row r="274" spans="1:13" s="79" customFormat="1" ht="13.5" customHeight="1" hidden="1">
      <c r="A274" s="407"/>
      <c r="C274" s="154"/>
      <c r="D274" s="444" t="s">
        <v>12</v>
      </c>
      <c r="E274" s="444"/>
      <c r="F274" s="444"/>
      <c r="G274" s="444"/>
      <c r="H274" s="444"/>
      <c r="I274" s="29"/>
      <c r="J274" s="78"/>
      <c r="K274" s="80">
        <f t="shared" si="16"/>
        <v>0</v>
      </c>
      <c r="L274" s="80"/>
      <c r="M274" s="82"/>
    </row>
    <row r="275" spans="1:13" s="79" customFormat="1" ht="13.5" customHeight="1">
      <c r="A275" s="407"/>
      <c r="C275" s="154"/>
      <c r="D275" s="445" t="s">
        <v>277</v>
      </c>
      <c r="E275" s="445"/>
      <c r="F275" s="445"/>
      <c r="G275" s="445"/>
      <c r="H275" s="445"/>
      <c r="I275" s="77">
        <f>I264-I268</f>
        <v>0</v>
      </c>
      <c r="J275" s="77">
        <f>J264-J268</f>
        <v>0</v>
      </c>
      <c r="K275" s="77">
        <f>K264-K268</f>
        <v>0</v>
      </c>
      <c r="L275" s="80"/>
      <c r="M275" s="82"/>
    </row>
    <row r="276" spans="1:13" s="79" customFormat="1" ht="12.75" customHeight="1">
      <c r="A276" s="407"/>
      <c r="C276" s="154"/>
      <c r="D276" s="444" t="s">
        <v>279</v>
      </c>
      <c r="E276" s="444"/>
      <c r="F276" s="444"/>
      <c r="G276" s="444"/>
      <c r="H276" s="444"/>
      <c r="I276" s="29">
        <f>I277+I278+I279</f>
        <v>0</v>
      </c>
      <c r="J276" s="29">
        <f>J277+J278+J279</f>
        <v>0</v>
      </c>
      <c r="K276" s="29">
        <f>K277+K278+K279</f>
        <v>0</v>
      </c>
      <c r="L276" s="80"/>
      <c r="M276" s="82"/>
    </row>
    <row r="277" spans="1:13" s="79" customFormat="1" ht="13.5" customHeight="1" hidden="1">
      <c r="A277" s="407"/>
      <c r="C277" s="154"/>
      <c r="D277" s="444" t="s">
        <v>278</v>
      </c>
      <c r="E277" s="444"/>
      <c r="F277" s="444"/>
      <c r="G277" s="444"/>
      <c r="H277" s="444"/>
      <c r="I277" s="29"/>
      <c r="J277" s="77"/>
      <c r="K277" s="80">
        <f>SUM(I277:J277)</f>
        <v>0</v>
      </c>
      <c r="L277" s="80"/>
      <c r="M277" s="82"/>
    </row>
    <row r="278" spans="1:13" s="79" customFormat="1" ht="13.5" customHeight="1" hidden="1">
      <c r="A278" s="407"/>
      <c r="C278" s="154"/>
      <c r="D278" s="444" t="s">
        <v>280</v>
      </c>
      <c r="E278" s="444"/>
      <c r="F278" s="444"/>
      <c r="G278" s="444"/>
      <c r="H278" s="444"/>
      <c r="I278" s="29"/>
      <c r="J278" s="77"/>
      <c r="K278" s="80">
        <f>SUM(I278:J278)</f>
        <v>0</v>
      </c>
      <c r="L278" s="80"/>
      <c r="M278" s="82"/>
    </row>
    <row r="279" spans="1:13" s="79" customFormat="1" ht="13.5" customHeight="1" hidden="1">
      <c r="A279" s="407"/>
      <c r="C279" s="154"/>
      <c r="D279" s="444" t="s">
        <v>281</v>
      </c>
      <c r="E279" s="444"/>
      <c r="F279" s="444"/>
      <c r="G279" s="444"/>
      <c r="H279" s="444"/>
      <c r="I279" s="29"/>
      <c r="J279" s="77"/>
      <c r="K279" s="80">
        <f>SUM(I279:J279)</f>
        <v>0</v>
      </c>
      <c r="L279" s="80"/>
      <c r="M279" s="82"/>
    </row>
    <row r="280" spans="1:13" s="79" customFormat="1" ht="7.5" customHeight="1">
      <c r="A280" s="407"/>
      <c r="C280" s="151"/>
      <c r="D280" s="85"/>
      <c r="E280" s="85"/>
      <c r="F280" s="85"/>
      <c r="G280" s="85"/>
      <c r="H280" s="85"/>
      <c r="I280" s="29"/>
      <c r="J280" s="29"/>
      <c r="K280" s="80"/>
      <c r="L280" s="80"/>
      <c r="M280" s="82"/>
    </row>
    <row r="281" spans="1:13" s="79" customFormat="1" ht="3.75" customHeight="1" hidden="1">
      <c r="A281" s="407"/>
      <c r="C281" s="151"/>
      <c r="D281" s="85"/>
      <c r="E281" s="85"/>
      <c r="F281" s="85"/>
      <c r="G281" s="85"/>
      <c r="H281" s="85"/>
      <c r="I281" s="29"/>
      <c r="J281" s="77"/>
      <c r="K281" s="77"/>
      <c r="L281" s="80"/>
      <c r="M281" s="82"/>
    </row>
    <row r="282" spans="1:13" s="15" customFormat="1" ht="13.5" customHeight="1">
      <c r="A282" s="407"/>
      <c r="C282" s="142" t="s">
        <v>124</v>
      </c>
      <c r="D282" s="450" t="s">
        <v>41</v>
      </c>
      <c r="E282" s="450"/>
      <c r="F282" s="450"/>
      <c r="G282" s="450"/>
      <c r="H282" s="450"/>
      <c r="I282" s="17"/>
      <c r="J282" s="126"/>
      <c r="K282" s="126"/>
      <c r="L282" s="127"/>
      <c r="M282" s="95"/>
    </row>
    <row r="283" spans="1:13" s="15" customFormat="1" ht="13.5" customHeight="1">
      <c r="A283" s="407"/>
      <c r="C283" s="154"/>
      <c r="D283" s="447" t="s">
        <v>37</v>
      </c>
      <c r="E283" s="447"/>
      <c r="F283" s="447"/>
      <c r="G283" s="447"/>
      <c r="H283" s="447"/>
      <c r="I283" s="77">
        <f>SUM(I284:I286)</f>
        <v>77331</v>
      </c>
      <c r="J283" s="77">
        <f>SUM(J284:J286)</f>
        <v>11743</v>
      </c>
      <c r="K283" s="77">
        <f>SUM(K284:K286)</f>
        <v>89074</v>
      </c>
      <c r="L283" s="127"/>
      <c r="M283" s="95"/>
    </row>
    <row r="284" spans="1:13" s="15" customFormat="1" ht="13.5" customHeight="1">
      <c r="A284" s="407"/>
      <c r="C284" s="154"/>
      <c r="D284" s="446" t="s">
        <v>5</v>
      </c>
      <c r="E284" s="446"/>
      <c r="F284" s="446"/>
      <c r="G284" s="446"/>
      <c r="H284" s="446"/>
      <c r="I284" s="29">
        <f>76025+300</f>
        <v>76325</v>
      </c>
      <c r="J284" s="80">
        <f>5182+5277+1284</f>
        <v>11743</v>
      </c>
      <c r="K284" s="80">
        <f>SUM(I284:J284)</f>
        <v>88068</v>
      </c>
      <c r="L284" s="127"/>
      <c r="M284" s="95"/>
    </row>
    <row r="285" spans="1:13" s="15" customFormat="1" ht="13.5" customHeight="1">
      <c r="A285" s="407"/>
      <c r="C285" s="154"/>
      <c r="D285" s="446" t="s">
        <v>6</v>
      </c>
      <c r="E285" s="446"/>
      <c r="F285" s="446"/>
      <c r="G285" s="446"/>
      <c r="H285" s="446"/>
      <c r="I285" s="29">
        <v>1006</v>
      </c>
      <c r="J285" s="80"/>
      <c r="K285" s="80">
        <f>SUM(I285:J285)</f>
        <v>1006</v>
      </c>
      <c r="L285" s="127"/>
      <c r="M285" s="95"/>
    </row>
    <row r="286" spans="1:13" s="15" customFormat="1" ht="13.5" customHeight="1" hidden="1">
      <c r="A286" s="407"/>
      <c r="C286" s="154"/>
      <c r="D286" s="446" t="s">
        <v>7</v>
      </c>
      <c r="E286" s="446"/>
      <c r="F286" s="446"/>
      <c r="G286" s="446"/>
      <c r="H286" s="446"/>
      <c r="I286" s="29"/>
      <c r="J286" s="80"/>
      <c r="K286" s="80">
        <f>SUM(I286:J286)</f>
        <v>0</v>
      </c>
      <c r="L286" s="127"/>
      <c r="M286" s="95"/>
    </row>
    <row r="287" spans="1:13" s="15" customFormat="1" ht="13.5" customHeight="1">
      <c r="A287" s="407"/>
      <c r="C287" s="154"/>
      <c r="D287" s="447" t="s">
        <v>38</v>
      </c>
      <c r="E287" s="447"/>
      <c r="F287" s="447"/>
      <c r="G287" s="447"/>
      <c r="H287" s="447"/>
      <c r="I287" s="253">
        <f>SUM(I288:I293)</f>
        <v>77476</v>
      </c>
      <c r="J287" s="253">
        <f>SUM(J288:J293)</f>
        <v>11743</v>
      </c>
      <c r="K287" s="253">
        <f>SUM(K288:K293)</f>
        <v>89219</v>
      </c>
      <c r="L287" s="127"/>
      <c r="M287" s="95"/>
    </row>
    <row r="288" spans="1:13" s="15" customFormat="1" ht="13.5" customHeight="1">
      <c r="A288" s="407"/>
      <c r="C288" s="154"/>
      <c r="D288" s="446" t="s">
        <v>289</v>
      </c>
      <c r="E288" s="446"/>
      <c r="F288" s="446"/>
      <c r="G288" s="446"/>
      <c r="H288" s="446"/>
      <c r="I288" s="29">
        <f>71926</f>
        <v>71926</v>
      </c>
      <c r="J288" s="80">
        <f>5182+1284</f>
        <v>6466</v>
      </c>
      <c r="K288" s="80">
        <f aca="true" t="shared" si="17" ref="K288:K293">SUM(I288:J288)</f>
        <v>78392</v>
      </c>
      <c r="L288" s="127"/>
      <c r="M288" s="95"/>
    </row>
    <row r="289" spans="1:13" s="15" customFormat="1" ht="9.75" customHeight="1">
      <c r="A289" s="407"/>
      <c r="C289" s="154"/>
      <c r="D289" s="444" t="s">
        <v>8</v>
      </c>
      <c r="E289" s="448"/>
      <c r="F289" s="448"/>
      <c r="G289" s="448"/>
      <c r="H289" s="448"/>
      <c r="I289" s="29">
        <f>4099+1151+300</f>
        <v>5550</v>
      </c>
      <c r="J289" s="80"/>
      <c r="K289" s="80">
        <f t="shared" si="17"/>
        <v>5550</v>
      </c>
      <c r="L289" s="127"/>
      <c r="M289" s="95"/>
    </row>
    <row r="290" spans="1:13" s="15" customFormat="1" ht="11.25" customHeight="1" hidden="1">
      <c r="A290" s="407"/>
      <c r="C290" s="154"/>
      <c r="D290" s="444" t="s">
        <v>10</v>
      </c>
      <c r="E290" s="444"/>
      <c r="F290" s="444"/>
      <c r="G290" s="444"/>
      <c r="H290" s="444"/>
      <c r="I290" s="29"/>
      <c r="J290" s="80"/>
      <c r="K290" s="80">
        <f t="shared" si="17"/>
        <v>0</v>
      </c>
      <c r="L290" s="127"/>
      <c r="M290" s="95"/>
    </row>
    <row r="291" spans="1:13" s="15" customFormat="1" ht="11.25" customHeight="1" hidden="1">
      <c r="A291" s="407"/>
      <c r="C291" s="154"/>
      <c r="D291" s="444" t="s">
        <v>9</v>
      </c>
      <c r="E291" s="444"/>
      <c r="F291" s="444"/>
      <c r="G291" s="444"/>
      <c r="H291" s="444"/>
      <c r="I291" s="29"/>
      <c r="J291" s="80"/>
      <c r="K291" s="80">
        <f t="shared" si="17"/>
        <v>0</v>
      </c>
      <c r="L291" s="127"/>
      <c r="M291" s="95"/>
    </row>
    <row r="292" spans="1:13" s="15" customFormat="1" ht="10.5" customHeight="1">
      <c r="A292" s="407"/>
      <c r="C292" s="154"/>
      <c r="D292" s="444" t="s">
        <v>11</v>
      </c>
      <c r="E292" s="444"/>
      <c r="F292" s="444"/>
      <c r="G292" s="444"/>
      <c r="H292" s="444"/>
      <c r="I292" s="29"/>
      <c r="J292" s="80">
        <f>5277</f>
        <v>5277</v>
      </c>
      <c r="K292" s="80">
        <f t="shared" si="17"/>
        <v>5277</v>
      </c>
      <c r="L292" s="127"/>
      <c r="M292" s="95"/>
    </row>
    <row r="293" spans="1:13" s="15" customFormat="1" ht="11.25" customHeight="1" hidden="1">
      <c r="A293" s="407"/>
      <c r="C293" s="154"/>
      <c r="D293" s="444" t="s">
        <v>12</v>
      </c>
      <c r="E293" s="444"/>
      <c r="F293" s="444"/>
      <c r="G293" s="444"/>
      <c r="H293" s="444"/>
      <c r="I293" s="29"/>
      <c r="J293" s="78"/>
      <c r="K293" s="80">
        <f t="shared" si="17"/>
        <v>0</v>
      </c>
      <c r="L293" s="127"/>
      <c r="M293" s="95"/>
    </row>
    <row r="294" spans="1:13" s="15" customFormat="1" ht="11.25" customHeight="1">
      <c r="A294" s="407"/>
      <c r="C294" s="154"/>
      <c r="D294" s="445" t="s">
        <v>277</v>
      </c>
      <c r="E294" s="445"/>
      <c r="F294" s="445"/>
      <c r="G294" s="445"/>
      <c r="H294" s="445"/>
      <c r="I294" s="77">
        <f>I283-I287</f>
        <v>-145</v>
      </c>
      <c r="J294" s="77">
        <f>J283-J287</f>
        <v>0</v>
      </c>
      <c r="K294" s="77">
        <f>K283-K287</f>
        <v>-145</v>
      </c>
      <c r="L294" s="127"/>
      <c r="M294" s="95"/>
    </row>
    <row r="295" spans="1:13" s="15" customFormat="1" ht="13.5" customHeight="1">
      <c r="A295" s="407"/>
      <c r="C295" s="154"/>
      <c r="D295" s="444" t="s">
        <v>279</v>
      </c>
      <c r="E295" s="444"/>
      <c r="F295" s="444"/>
      <c r="G295" s="444"/>
      <c r="H295" s="444"/>
      <c r="I295" s="29">
        <f>I296+I297+I298</f>
        <v>145</v>
      </c>
      <c r="J295" s="29">
        <f>J296+J297+J298</f>
        <v>0</v>
      </c>
      <c r="K295" s="29">
        <f>K296+K297+K298</f>
        <v>145</v>
      </c>
      <c r="L295" s="127"/>
      <c r="M295" s="95"/>
    </row>
    <row r="296" spans="1:13" s="15" customFormat="1" ht="12.75" customHeight="1">
      <c r="A296" s="407"/>
      <c r="C296" s="154"/>
      <c r="D296" s="444" t="s">
        <v>278</v>
      </c>
      <c r="E296" s="444"/>
      <c r="F296" s="444"/>
      <c r="G296" s="444"/>
      <c r="H296" s="444"/>
      <c r="I296" s="29">
        <v>145</v>
      </c>
      <c r="J296" s="77"/>
      <c r="K296" s="80">
        <f>SUM(I296:J296)</f>
        <v>145</v>
      </c>
      <c r="L296" s="127"/>
      <c r="M296" s="95"/>
    </row>
    <row r="297" spans="1:13" s="15" customFormat="1" ht="13.5" customHeight="1" hidden="1">
      <c r="A297" s="407"/>
      <c r="C297" s="154"/>
      <c r="D297" s="444" t="s">
        <v>280</v>
      </c>
      <c r="E297" s="444"/>
      <c r="F297" s="444"/>
      <c r="G297" s="444"/>
      <c r="H297" s="444"/>
      <c r="I297" s="29"/>
      <c r="J297" s="77"/>
      <c r="K297" s="80">
        <f>SUM(I297:J297)</f>
        <v>0</v>
      </c>
      <c r="L297" s="127"/>
      <c r="M297" s="95"/>
    </row>
    <row r="298" spans="1:13" s="15" customFormat="1" ht="13.5" customHeight="1" hidden="1">
      <c r="A298" s="407"/>
      <c r="C298" s="154"/>
      <c r="D298" s="444" t="s">
        <v>281</v>
      </c>
      <c r="E298" s="444"/>
      <c r="F298" s="444"/>
      <c r="G298" s="444"/>
      <c r="H298" s="444"/>
      <c r="I298" s="29"/>
      <c r="J298" s="77"/>
      <c r="K298" s="80">
        <f>SUM(I298:J298)</f>
        <v>0</v>
      </c>
      <c r="L298" s="127"/>
      <c r="M298" s="95"/>
    </row>
    <row r="299" spans="1:13" s="15" customFormat="1" ht="7.5" customHeight="1" hidden="1">
      <c r="A299" s="407"/>
      <c r="C299" s="154"/>
      <c r="D299" s="85"/>
      <c r="E299" s="85"/>
      <c r="F299" s="85"/>
      <c r="G299" s="85"/>
      <c r="H299" s="85"/>
      <c r="I299" s="29"/>
      <c r="J299" s="78"/>
      <c r="K299" s="80"/>
      <c r="L299" s="127"/>
      <c r="M299" s="95"/>
    </row>
    <row r="300" spans="1:13" s="15" customFormat="1" ht="13.5" customHeight="1" hidden="1">
      <c r="A300" s="407"/>
      <c r="C300" s="154"/>
      <c r="D300" s="85"/>
      <c r="E300" s="85"/>
      <c r="F300" s="85"/>
      <c r="G300" s="85"/>
      <c r="H300" s="85"/>
      <c r="I300" s="29"/>
      <c r="J300" s="78"/>
      <c r="K300" s="80"/>
      <c r="L300" s="127"/>
      <c r="M300" s="95"/>
    </row>
    <row r="301" spans="1:13" s="15" customFormat="1" ht="13.5" customHeight="1" hidden="1">
      <c r="A301" s="407"/>
      <c r="C301" s="142" t="s">
        <v>394</v>
      </c>
      <c r="D301" s="450" t="s">
        <v>395</v>
      </c>
      <c r="E301" s="450"/>
      <c r="F301" s="450"/>
      <c r="G301" s="450"/>
      <c r="H301" s="450"/>
      <c r="I301" s="17"/>
      <c r="J301" s="126"/>
      <c r="K301" s="17"/>
      <c r="L301" s="127"/>
      <c r="M301" s="95"/>
    </row>
    <row r="302" spans="1:13" s="15" customFormat="1" ht="13.5" customHeight="1" hidden="1">
      <c r="A302" s="407"/>
      <c r="C302" s="154"/>
      <c r="D302" s="447" t="s">
        <v>37</v>
      </c>
      <c r="E302" s="447"/>
      <c r="F302" s="447"/>
      <c r="G302" s="447"/>
      <c r="H302" s="447"/>
      <c r="I302" s="77">
        <f>SUM(I303:I305)</f>
        <v>0</v>
      </c>
      <c r="J302" s="77">
        <f>SUM(J303:J305)</f>
        <v>0</v>
      </c>
      <c r="K302" s="77">
        <f>SUM(K303:K305)</f>
        <v>0</v>
      </c>
      <c r="L302" s="127"/>
      <c r="M302" s="95"/>
    </row>
    <row r="303" spans="1:13" s="15" customFormat="1" ht="13.5" customHeight="1" hidden="1">
      <c r="A303" s="407"/>
      <c r="C303" s="154"/>
      <c r="D303" s="446" t="s">
        <v>5</v>
      </c>
      <c r="E303" s="446"/>
      <c r="F303" s="446"/>
      <c r="G303" s="446"/>
      <c r="H303" s="446"/>
      <c r="I303" s="29"/>
      <c r="J303" s="80"/>
      <c r="K303" s="29">
        <f>SUM(I303:J303)</f>
        <v>0</v>
      </c>
      <c r="L303" s="127"/>
      <c r="M303" s="95"/>
    </row>
    <row r="304" spans="1:13" s="15" customFormat="1" ht="13.5" customHeight="1" hidden="1">
      <c r="A304" s="407"/>
      <c r="C304" s="154"/>
      <c r="D304" s="446" t="s">
        <v>6</v>
      </c>
      <c r="E304" s="446"/>
      <c r="F304" s="446"/>
      <c r="G304" s="446"/>
      <c r="H304" s="446"/>
      <c r="I304" s="29"/>
      <c r="J304" s="78"/>
      <c r="K304" s="29">
        <f>SUM(I304:J304)</f>
        <v>0</v>
      </c>
      <c r="L304" s="127"/>
      <c r="M304" s="95"/>
    </row>
    <row r="305" spans="1:13" s="15" customFormat="1" ht="13.5" customHeight="1" hidden="1">
      <c r="A305" s="407"/>
      <c r="C305" s="154"/>
      <c r="D305" s="446" t="s">
        <v>7</v>
      </c>
      <c r="E305" s="446"/>
      <c r="F305" s="446"/>
      <c r="G305" s="446"/>
      <c r="H305" s="446"/>
      <c r="I305" s="29"/>
      <c r="J305" s="78"/>
      <c r="K305" s="29">
        <f>SUM(I305:J305)</f>
        <v>0</v>
      </c>
      <c r="L305" s="127"/>
      <c r="M305" s="95"/>
    </row>
    <row r="306" spans="1:13" s="15" customFormat="1" ht="13.5" customHeight="1" hidden="1">
      <c r="A306" s="407"/>
      <c r="C306" s="154"/>
      <c r="D306" s="447" t="s">
        <v>38</v>
      </c>
      <c r="E306" s="447"/>
      <c r="F306" s="447"/>
      <c r="G306" s="447"/>
      <c r="H306" s="447"/>
      <c r="I306" s="253">
        <f>SUM(I307:I312)</f>
        <v>0</v>
      </c>
      <c r="J306" s="253">
        <f>SUM(J307:J312)</f>
        <v>0</v>
      </c>
      <c r="K306" s="253">
        <f>SUM(K307:K312)</f>
        <v>0</v>
      </c>
      <c r="L306" s="127"/>
      <c r="M306" s="95"/>
    </row>
    <row r="307" spans="1:13" s="15" customFormat="1" ht="13.5" customHeight="1" hidden="1">
      <c r="A307" s="407"/>
      <c r="C307" s="154"/>
      <c r="D307" s="446" t="s">
        <v>289</v>
      </c>
      <c r="E307" s="446"/>
      <c r="F307" s="446"/>
      <c r="G307" s="446"/>
      <c r="H307" s="446"/>
      <c r="I307" s="29"/>
      <c r="J307" s="80"/>
      <c r="K307" s="29">
        <f aca="true" t="shared" si="18" ref="K307:K312">SUM(I307:J307)</f>
        <v>0</v>
      </c>
      <c r="L307" s="127"/>
      <c r="M307" s="95"/>
    </row>
    <row r="308" spans="1:13" s="15" customFormat="1" ht="13.5" customHeight="1" hidden="1">
      <c r="A308" s="407"/>
      <c r="C308" s="154"/>
      <c r="D308" s="444" t="s">
        <v>8</v>
      </c>
      <c r="E308" s="448"/>
      <c r="F308" s="448"/>
      <c r="G308" s="448"/>
      <c r="H308" s="448"/>
      <c r="I308" s="29"/>
      <c r="J308" s="80"/>
      <c r="K308" s="29">
        <f t="shared" si="18"/>
        <v>0</v>
      </c>
      <c r="L308" s="127"/>
      <c r="M308" s="95"/>
    </row>
    <row r="309" spans="1:13" s="15" customFormat="1" ht="13.5" customHeight="1" hidden="1">
      <c r="A309" s="407"/>
      <c r="C309" s="154"/>
      <c r="D309" s="444" t="s">
        <v>10</v>
      </c>
      <c r="E309" s="444"/>
      <c r="F309" s="444"/>
      <c r="G309" s="444"/>
      <c r="H309" s="444"/>
      <c r="I309" s="29"/>
      <c r="J309" s="78"/>
      <c r="K309" s="29">
        <f t="shared" si="18"/>
        <v>0</v>
      </c>
      <c r="L309" s="127"/>
      <c r="M309" s="95"/>
    </row>
    <row r="310" spans="1:13" s="15" customFormat="1" ht="13.5" customHeight="1" hidden="1">
      <c r="A310" s="407"/>
      <c r="C310" s="154"/>
      <c r="D310" s="444" t="s">
        <v>9</v>
      </c>
      <c r="E310" s="444"/>
      <c r="F310" s="444"/>
      <c r="G310" s="444"/>
      <c r="H310" s="444"/>
      <c r="I310" s="29"/>
      <c r="J310" s="78"/>
      <c r="K310" s="29">
        <f t="shared" si="18"/>
        <v>0</v>
      </c>
      <c r="L310" s="127"/>
      <c r="M310" s="95"/>
    </row>
    <row r="311" spans="1:13" s="15" customFormat="1" ht="13.5" customHeight="1" hidden="1">
      <c r="A311" s="407"/>
      <c r="C311" s="154"/>
      <c r="D311" s="444" t="s">
        <v>11</v>
      </c>
      <c r="E311" s="444"/>
      <c r="F311" s="444"/>
      <c r="G311" s="444"/>
      <c r="H311" s="444"/>
      <c r="I311" s="29"/>
      <c r="J311" s="80"/>
      <c r="K311" s="29">
        <f t="shared" si="18"/>
        <v>0</v>
      </c>
      <c r="L311" s="127"/>
      <c r="M311" s="95"/>
    </row>
    <row r="312" spans="1:13" s="15" customFormat="1" ht="13.5" customHeight="1" hidden="1">
      <c r="A312" s="407"/>
      <c r="C312" s="151"/>
      <c r="D312" s="444" t="s">
        <v>12</v>
      </c>
      <c r="E312" s="444"/>
      <c r="F312" s="444"/>
      <c r="G312" s="444"/>
      <c r="H312" s="444"/>
      <c r="I312" s="29"/>
      <c r="J312" s="78"/>
      <c r="K312" s="29">
        <f t="shared" si="18"/>
        <v>0</v>
      </c>
      <c r="L312" s="127"/>
      <c r="M312" s="95"/>
    </row>
    <row r="313" spans="1:13" s="15" customFormat="1" ht="13.5" customHeight="1" hidden="1">
      <c r="A313" s="407"/>
      <c r="C313" s="151"/>
      <c r="D313" s="445" t="s">
        <v>277</v>
      </c>
      <c r="E313" s="445"/>
      <c r="F313" s="445"/>
      <c r="G313" s="445"/>
      <c r="H313" s="445"/>
      <c r="I313" s="77">
        <f>I302-I306</f>
        <v>0</v>
      </c>
      <c r="J313" s="77">
        <f>J302-J306</f>
        <v>0</v>
      </c>
      <c r="K313" s="77">
        <f>K302-K306</f>
        <v>0</v>
      </c>
      <c r="L313" s="127"/>
      <c r="M313" s="95"/>
    </row>
    <row r="314" spans="1:13" s="15" customFormat="1" ht="13.5" customHeight="1" hidden="1">
      <c r="A314" s="407"/>
      <c r="C314" s="151"/>
      <c r="D314" s="444" t="s">
        <v>279</v>
      </c>
      <c r="E314" s="444"/>
      <c r="F314" s="444"/>
      <c r="G314" s="444"/>
      <c r="H314" s="444"/>
      <c r="I314" s="29">
        <f>I315+I316+I317</f>
        <v>0</v>
      </c>
      <c r="J314" s="29">
        <f>J315+J316+J317</f>
        <v>0</v>
      </c>
      <c r="K314" s="29">
        <f>K315+K316+K317</f>
        <v>0</v>
      </c>
      <c r="L314" s="127"/>
      <c r="M314" s="95"/>
    </row>
    <row r="315" spans="1:13" s="15" customFormat="1" ht="13.5" customHeight="1" hidden="1">
      <c r="A315" s="407"/>
      <c r="C315" s="151"/>
      <c r="D315" s="444" t="s">
        <v>278</v>
      </c>
      <c r="E315" s="444"/>
      <c r="F315" s="444"/>
      <c r="G315" s="444"/>
      <c r="H315" s="444"/>
      <c r="I315" s="29"/>
      <c r="J315" s="77"/>
      <c r="K315" s="80">
        <f>SUM(I315:J315)</f>
        <v>0</v>
      </c>
      <c r="L315" s="127"/>
      <c r="M315" s="95"/>
    </row>
    <row r="316" spans="1:13" s="15" customFormat="1" ht="13.5" customHeight="1" hidden="1">
      <c r="A316" s="407"/>
      <c r="C316" s="151"/>
      <c r="D316" s="444" t="s">
        <v>280</v>
      </c>
      <c r="E316" s="444"/>
      <c r="F316" s="444"/>
      <c r="G316" s="444"/>
      <c r="H316" s="444"/>
      <c r="I316" s="29"/>
      <c r="J316" s="77"/>
      <c r="K316" s="80">
        <f>SUM(I316:J316)</f>
        <v>0</v>
      </c>
      <c r="L316" s="127"/>
      <c r="M316" s="95"/>
    </row>
    <row r="317" spans="1:13" s="15" customFormat="1" ht="13.5" customHeight="1" hidden="1">
      <c r="A317" s="407"/>
      <c r="C317" s="151"/>
      <c r="D317" s="444" t="s">
        <v>281</v>
      </c>
      <c r="E317" s="444"/>
      <c r="F317" s="444"/>
      <c r="G317" s="444"/>
      <c r="H317" s="444"/>
      <c r="I317" s="29"/>
      <c r="J317" s="77"/>
      <c r="K317" s="80">
        <f>SUM(I317:J317)</f>
        <v>0</v>
      </c>
      <c r="L317" s="127"/>
      <c r="M317" s="95"/>
    </row>
    <row r="318" spans="1:13" s="15" customFormat="1" ht="13.5" customHeight="1" hidden="1">
      <c r="A318" s="407"/>
      <c r="C318" s="154"/>
      <c r="D318" s="85"/>
      <c r="E318" s="85"/>
      <c r="F318" s="85"/>
      <c r="G318" s="85"/>
      <c r="H318" s="85"/>
      <c r="I318" s="29"/>
      <c r="J318" s="78"/>
      <c r="K318" s="80"/>
      <c r="L318" s="127"/>
      <c r="M318" s="95"/>
    </row>
    <row r="319" spans="1:13" s="15" customFormat="1" ht="9.75" customHeight="1" hidden="1">
      <c r="A319" s="407"/>
      <c r="C319" s="154"/>
      <c r="D319" s="85"/>
      <c r="E319" s="85"/>
      <c r="F319" s="85"/>
      <c r="G319" s="85"/>
      <c r="H319" s="85"/>
      <c r="I319" s="29"/>
      <c r="J319" s="78"/>
      <c r="K319" s="80"/>
      <c r="L319" s="127"/>
      <c r="M319" s="95"/>
    </row>
    <row r="320" spans="1:13" s="15" customFormat="1" ht="13.5" customHeight="1" hidden="1">
      <c r="A320" s="407"/>
      <c r="C320" s="142" t="s">
        <v>40</v>
      </c>
      <c r="D320" s="450"/>
      <c r="E320" s="450"/>
      <c r="F320" s="450"/>
      <c r="G320" s="450"/>
      <c r="H320" s="450"/>
      <c r="I320" s="17"/>
      <c r="J320" s="126"/>
      <c r="K320" s="17"/>
      <c r="L320" s="127"/>
      <c r="M320" s="95"/>
    </row>
    <row r="321" spans="1:13" s="15" customFormat="1" ht="13.5" customHeight="1" hidden="1">
      <c r="A321" s="407"/>
      <c r="C321" s="154"/>
      <c r="D321" s="447" t="s">
        <v>37</v>
      </c>
      <c r="E321" s="447"/>
      <c r="F321" s="447"/>
      <c r="G321" s="447"/>
      <c r="H321" s="447"/>
      <c r="I321" s="77">
        <f>SUM(I322:I324)</f>
        <v>0</v>
      </c>
      <c r="J321" s="77">
        <f>SUM(J322:J324)</f>
        <v>0</v>
      </c>
      <c r="K321" s="77">
        <f>SUM(K322:K324)</f>
        <v>0</v>
      </c>
      <c r="L321" s="127"/>
      <c r="M321" s="95"/>
    </row>
    <row r="322" spans="1:13" s="15" customFormat="1" ht="13.5" customHeight="1" hidden="1">
      <c r="A322" s="407"/>
      <c r="C322" s="154"/>
      <c r="D322" s="446" t="s">
        <v>5</v>
      </c>
      <c r="E322" s="446"/>
      <c r="F322" s="446"/>
      <c r="G322" s="446"/>
      <c r="H322" s="446"/>
      <c r="I322" s="29"/>
      <c r="J322" s="80"/>
      <c r="K322" s="29">
        <f>SUM(I322:J322)</f>
        <v>0</v>
      </c>
      <c r="L322" s="127"/>
      <c r="M322" s="95"/>
    </row>
    <row r="323" spans="1:13" s="15" customFormat="1" ht="13.5" customHeight="1" hidden="1">
      <c r="A323" s="407"/>
      <c r="C323" s="154"/>
      <c r="D323" s="446" t="s">
        <v>6</v>
      </c>
      <c r="E323" s="446"/>
      <c r="F323" s="446"/>
      <c r="G323" s="446"/>
      <c r="H323" s="446"/>
      <c r="I323" s="29"/>
      <c r="J323" s="78"/>
      <c r="K323" s="29">
        <f>SUM(I323:J323)</f>
        <v>0</v>
      </c>
      <c r="L323" s="127"/>
      <c r="M323" s="95"/>
    </row>
    <row r="324" spans="1:13" s="15" customFormat="1" ht="13.5" customHeight="1" hidden="1">
      <c r="A324" s="407"/>
      <c r="C324" s="154"/>
      <c r="D324" s="446" t="s">
        <v>7</v>
      </c>
      <c r="E324" s="446"/>
      <c r="F324" s="446"/>
      <c r="G324" s="446"/>
      <c r="H324" s="446"/>
      <c r="I324" s="29"/>
      <c r="J324" s="78"/>
      <c r="K324" s="29">
        <f>SUM(I324:J324)</f>
        <v>0</v>
      </c>
      <c r="L324" s="127"/>
      <c r="M324" s="95"/>
    </row>
    <row r="325" spans="1:13" s="15" customFormat="1" ht="13.5" customHeight="1" hidden="1">
      <c r="A325" s="407"/>
      <c r="C325" s="154"/>
      <c r="D325" s="447" t="s">
        <v>38</v>
      </c>
      <c r="E325" s="447"/>
      <c r="F325" s="447"/>
      <c r="G325" s="447"/>
      <c r="H325" s="447"/>
      <c r="I325" s="253">
        <f>SUM(I326:I331)</f>
        <v>0</v>
      </c>
      <c r="J325" s="253">
        <f>SUM(J326:J331)</f>
        <v>0</v>
      </c>
      <c r="K325" s="253">
        <f>SUM(K326:K331)</f>
        <v>0</v>
      </c>
      <c r="L325" s="127"/>
      <c r="M325" s="95"/>
    </row>
    <row r="326" spans="1:13" s="15" customFormat="1" ht="13.5" customHeight="1" hidden="1">
      <c r="A326" s="407"/>
      <c r="C326" s="154"/>
      <c r="D326" s="446" t="s">
        <v>289</v>
      </c>
      <c r="E326" s="446"/>
      <c r="F326" s="446"/>
      <c r="G326" s="446"/>
      <c r="H326" s="446"/>
      <c r="I326" s="29"/>
      <c r="J326" s="80"/>
      <c r="K326" s="29">
        <f aca="true" t="shared" si="19" ref="K326:K331">SUM(I326:J326)</f>
        <v>0</v>
      </c>
      <c r="L326" s="127"/>
      <c r="M326" s="95"/>
    </row>
    <row r="327" spans="1:13" s="15" customFormat="1" ht="13.5" customHeight="1" hidden="1">
      <c r="A327" s="407"/>
      <c r="C327" s="154"/>
      <c r="D327" s="444" t="s">
        <v>8</v>
      </c>
      <c r="E327" s="448"/>
      <c r="F327" s="448"/>
      <c r="G327" s="448"/>
      <c r="H327" s="448"/>
      <c r="I327" s="29"/>
      <c r="J327" s="80"/>
      <c r="K327" s="29">
        <f t="shared" si="19"/>
        <v>0</v>
      </c>
      <c r="L327" s="127"/>
      <c r="M327" s="95"/>
    </row>
    <row r="328" spans="1:13" s="15" customFormat="1" ht="13.5" customHeight="1" hidden="1">
      <c r="A328" s="407"/>
      <c r="C328" s="154"/>
      <c r="D328" s="444" t="s">
        <v>10</v>
      </c>
      <c r="E328" s="444"/>
      <c r="F328" s="444"/>
      <c r="G328" s="444"/>
      <c r="H328" s="444"/>
      <c r="I328" s="29"/>
      <c r="J328" s="78"/>
      <c r="K328" s="29">
        <f t="shared" si="19"/>
        <v>0</v>
      </c>
      <c r="L328" s="127"/>
      <c r="M328" s="95"/>
    </row>
    <row r="329" spans="1:13" s="15" customFormat="1" ht="13.5" customHeight="1" hidden="1">
      <c r="A329" s="407"/>
      <c r="C329" s="154"/>
      <c r="D329" s="444" t="s">
        <v>9</v>
      </c>
      <c r="E329" s="444"/>
      <c r="F329" s="444"/>
      <c r="G329" s="444"/>
      <c r="H329" s="444"/>
      <c r="I329" s="29"/>
      <c r="J329" s="78"/>
      <c r="K329" s="29">
        <f t="shared" si="19"/>
        <v>0</v>
      </c>
      <c r="L329" s="127"/>
      <c r="M329" s="95"/>
    </row>
    <row r="330" spans="1:13" s="15" customFormat="1" ht="13.5" customHeight="1" hidden="1">
      <c r="A330" s="407"/>
      <c r="C330" s="154"/>
      <c r="D330" s="444" t="s">
        <v>11</v>
      </c>
      <c r="E330" s="444"/>
      <c r="F330" s="444"/>
      <c r="G330" s="444"/>
      <c r="H330" s="444"/>
      <c r="I330" s="29"/>
      <c r="J330" s="80"/>
      <c r="K330" s="29">
        <f>SUM(I330:J330)</f>
        <v>0</v>
      </c>
      <c r="L330" s="127"/>
      <c r="M330" s="95"/>
    </row>
    <row r="331" spans="1:13" s="79" customFormat="1" ht="13.5" customHeight="1" hidden="1">
      <c r="A331" s="407"/>
      <c r="C331" s="151"/>
      <c r="D331" s="444" t="s">
        <v>12</v>
      </c>
      <c r="E331" s="444"/>
      <c r="F331" s="444"/>
      <c r="G331" s="444"/>
      <c r="H331" s="444"/>
      <c r="I331" s="29"/>
      <c r="J331" s="78"/>
      <c r="K331" s="29">
        <f t="shared" si="19"/>
        <v>0</v>
      </c>
      <c r="L331" s="80"/>
      <c r="M331" s="82"/>
    </row>
    <row r="332" spans="1:13" s="79" customFormat="1" ht="13.5" customHeight="1" hidden="1">
      <c r="A332" s="407"/>
      <c r="C332" s="151"/>
      <c r="D332" s="445" t="s">
        <v>277</v>
      </c>
      <c r="E332" s="445"/>
      <c r="F332" s="445"/>
      <c r="G332" s="445"/>
      <c r="H332" s="445"/>
      <c r="I332" s="77">
        <f>I321-I325</f>
        <v>0</v>
      </c>
      <c r="J332" s="77">
        <f>J321-J325</f>
        <v>0</v>
      </c>
      <c r="K332" s="77">
        <f>K321-K325</f>
        <v>0</v>
      </c>
      <c r="L332" s="80"/>
      <c r="M332" s="82"/>
    </row>
    <row r="333" spans="1:13" s="79" customFormat="1" ht="13.5" customHeight="1" hidden="1">
      <c r="A333" s="407"/>
      <c r="C333" s="151"/>
      <c r="D333" s="444" t="s">
        <v>279</v>
      </c>
      <c r="E333" s="444"/>
      <c r="F333" s="444"/>
      <c r="G333" s="444"/>
      <c r="H333" s="444"/>
      <c r="I333" s="29">
        <f>I334+I335+I336</f>
        <v>0</v>
      </c>
      <c r="J333" s="29">
        <f>J334+J335+J336</f>
        <v>0</v>
      </c>
      <c r="K333" s="29">
        <f>K334+K335+K336</f>
        <v>0</v>
      </c>
      <c r="L333" s="80"/>
      <c r="M333" s="82"/>
    </row>
    <row r="334" spans="1:13" s="79" customFormat="1" ht="13.5" customHeight="1" hidden="1">
      <c r="A334" s="407"/>
      <c r="C334" s="151"/>
      <c r="D334" s="444" t="s">
        <v>278</v>
      </c>
      <c r="E334" s="444"/>
      <c r="F334" s="444"/>
      <c r="G334" s="444"/>
      <c r="H334" s="444"/>
      <c r="I334" s="29"/>
      <c r="J334" s="77"/>
      <c r="K334" s="80">
        <f>SUM(I334:J334)</f>
        <v>0</v>
      </c>
      <c r="L334" s="80"/>
      <c r="M334" s="82"/>
    </row>
    <row r="335" spans="1:13" s="79" customFormat="1" ht="13.5" customHeight="1" hidden="1">
      <c r="A335" s="407"/>
      <c r="C335" s="151"/>
      <c r="D335" s="444" t="s">
        <v>280</v>
      </c>
      <c r="E335" s="444"/>
      <c r="F335" s="444"/>
      <c r="G335" s="444"/>
      <c r="H335" s="444"/>
      <c r="I335" s="29"/>
      <c r="J335" s="77"/>
      <c r="K335" s="80">
        <f>SUM(I335:J335)</f>
        <v>0</v>
      </c>
      <c r="L335" s="80"/>
      <c r="M335" s="82"/>
    </row>
    <row r="336" spans="1:13" s="79" customFormat="1" ht="13.5" customHeight="1" hidden="1">
      <c r="A336" s="407"/>
      <c r="C336" s="151"/>
      <c r="D336" s="444" t="s">
        <v>281</v>
      </c>
      <c r="E336" s="444"/>
      <c r="F336" s="444"/>
      <c r="G336" s="444"/>
      <c r="H336" s="444"/>
      <c r="I336" s="29"/>
      <c r="J336" s="77"/>
      <c r="K336" s="80">
        <f>SUM(I336:J336)</f>
        <v>0</v>
      </c>
      <c r="L336" s="80"/>
      <c r="M336" s="82"/>
    </row>
    <row r="337" spans="1:13" s="79" customFormat="1" ht="13.5" customHeight="1" hidden="1">
      <c r="A337" s="407"/>
      <c r="C337" s="151"/>
      <c r="D337" s="85"/>
      <c r="E337" s="85"/>
      <c r="F337" s="85"/>
      <c r="G337" s="85"/>
      <c r="H337" s="85"/>
      <c r="I337" s="29"/>
      <c r="J337" s="78"/>
      <c r="K337" s="29"/>
      <c r="L337" s="80"/>
      <c r="M337" s="82"/>
    </row>
    <row r="338" spans="1:13" s="79" customFormat="1" ht="3.75" customHeight="1">
      <c r="A338" s="407"/>
      <c r="C338" s="151"/>
      <c r="D338" s="85"/>
      <c r="E338" s="85"/>
      <c r="F338" s="85"/>
      <c r="G338" s="85"/>
      <c r="H338" s="85"/>
      <c r="I338" s="29"/>
      <c r="J338" s="78"/>
      <c r="K338" s="77"/>
      <c r="L338" s="80"/>
      <c r="M338" s="82"/>
    </row>
    <row r="339" spans="1:13" s="6" customFormat="1" ht="13.5" customHeight="1">
      <c r="A339" s="409">
        <f>'2.pielikums'!J47-'3.pielik.'!K339</f>
        <v>0</v>
      </c>
      <c r="C339" s="150" t="s">
        <v>43</v>
      </c>
      <c r="D339" s="437" t="s">
        <v>88</v>
      </c>
      <c r="E339" s="437"/>
      <c r="F339" s="437"/>
      <c r="G339" s="437"/>
      <c r="H339" s="437"/>
      <c r="I339" s="134">
        <f>I346+I494+I513+I532+I551+I589+I570+I421</f>
        <v>16201955</v>
      </c>
      <c r="J339" s="134">
        <f>J346+J494+J513+J532+J551+J589+J570+J421</f>
        <v>160442</v>
      </c>
      <c r="K339" s="134">
        <f>K346+K494+K513+K532+K551+K589+K570+K421</f>
        <v>16362397</v>
      </c>
      <c r="L339" s="93"/>
      <c r="M339" s="91"/>
    </row>
    <row r="340" ht="8.25" customHeight="1">
      <c r="L340" s="93"/>
    </row>
    <row r="341" spans="1:13" s="15" customFormat="1" ht="13.5" customHeight="1">
      <c r="A341" s="407"/>
      <c r="C341" s="142" t="s">
        <v>43</v>
      </c>
      <c r="D341" s="450" t="s">
        <v>57</v>
      </c>
      <c r="E341" s="450"/>
      <c r="F341" s="450"/>
      <c r="G341" s="450"/>
      <c r="H341" s="450"/>
      <c r="I341" s="17"/>
      <c r="J341" s="126"/>
      <c r="K341" s="126"/>
      <c r="L341" s="127"/>
      <c r="M341" s="95"/>
    </row>
    <row r="342" spans="1:13" s="15" customFormat="1" ht="13.5" customHeight="1">
      <c r="A342" s="407"/>
      <c r="C342" s="154"/>
      <c r="D342" s="447" t="s">
        <v>37</v>
      </c>
      <c r="E342" s="447"/>
      <c r="F342" s="447"/>
      <c r="G342" s="447"/>
      <c r="H342" s="447"/>
      <c r="I342" s="77">
        <f>SUM(I343:I345)</f>
        <v>165942</v>
      </c>
      <c r="J342" s="77">
        <f>SUM(J343:J345)</f>
        <v>0</v>
      </c>
      <c r="K342" s="77">
        <f>SUM(K343:K345)</f>
        <v>165942</v>
      </c>
      <c r="L342" s="127"/>
      <c r="M342" s="95"/>
    </row>
    <row r="343" spans="1:13" s="15" customFormat="1" ht="12.75" customHeight="1">
      <c r="A343" s="407"/>
      <c r="C343" s="154"/>
      <c r="D343" s="446" t="s">
        <v>5</v>
      </c>
      <c r="E343" s="446"/>
      <c r="F343" s="446"/>
      <c r="G343" s="446"/>
      <c r="H343" s="446"/>
      <c r="I343" s="29">
        <f aca="true" t="shared" si="20" ref="I343:K345">I361+I379+I397</f>
        <v>165942</v>
      </c>
      <c r="J343" s="29">
        <f t="shared" si="20"/>
        <v>0</v>
      </c>
      <c r="K343" s="29">
        <f t="shared" si="20"/>
        <v>165942</v>
      </c>
      <c r="L343" s="127"/>
      <c r="M343" s="95"/>
    </row>
    <row r="344" spans="1:13" s="15" customFormat="1" ht="13.5" customHeight="1" hidden="1">
      <c r="A344" s="407"/>
      <c r="C344" s="154"/>
      <c r="D344" s="446" t="s">
        <v>6</v>
      </c>
      <c r="E344" s="446"/>
      <c r="F344" s="446"/>
      <c r="G344" s="446"/>
      <c r="H344" s="446"/>
      <c r="I344" s="29">
        <f t="shared" si="20"/>
        <v>0</v>
      </c>
      <c r="J344" s="29">
        <f t="shared" si="20"/>
        <v>0</v>
      </c>
      <c r="K344" s="29">
        <f t="shared" si="20"/>
        <v>0</v>
      </c>
      <c r="L344" s="127"/>
      <c r="M344" s="95"/>
    </row>
    <row r="345" spans="1:13" s="15" customFormat="1" ht="13.5" customHeight="1" hidden="1">
      <c r="A345" s="407"/>
      <c r="C345" s="154"/>
      <c r="D345" s="446" t="s">
        <v>7</v>
      </c>
      <c r="E345" s="446"/>
      <c r="F345" s="446"/>
      <c r="G345" s="446"/>
      <c r="H345" s="446"/>
      <c r="I345" s="29">
        <f t="shared" si="20"/>
        <v>0</v>
      </c>
      <c r="J345" s="29">
        <f t="shared" si="20"/>
        <v>0</v>
      </c>
      <c r="K345" s="29">
        <f t="shared" si="20"/>
        <v>0</v>
      </c>
      <c r="L345" s="127"/>
      <c r="M345" s="95"/>
    </row>
    <row r="346" spans="1:13" s="15" customFormat="1" ht="13.5" customHeight="1">
      <c r="A346" s="407"/>
      <c r="C346" s="154"/>
      <c r="D346" s="447" t="s">
        <v>38</v>
      </c>
      <c r="E346" s="447"/>
      <c r="F346" s="447"/>
      <c r="G346" s="447"/>
      <c r="H346" s="447"/>
      <c r="I346" s="253">
        <f>SUM(I347:I352)</f>
        <v>165942</v>
      </c>
      <c r="J346" s="253">
        <f>SUM(J347:J352)</f>
        <v>0</v>
      </c>
      <c r="K346" s="253">
        <f>SUM(K347:K352)</f>
        <v>165942</v>
      </c>
      <c r="L346" s="127"/>
      <c r="M346" s="95"/>
    </row>
    <row r="347" spans="1:13" s="15" customFormat="1" ht="13.5" customHeight="1" hidden="1">
      <c r="A347" s="407"/>
      <c r="C347" s="154"/>
      <c r="D347" s="446" t="s">
        <v>289</v>
      </c>
      <c r="E347" s="446"/>
      <c r="F347" s="446"/>
      <c r="G347" s="446"/>
      <c r="H347" s="446"/>
      <c r="I347" s="29">
        <f>I365+I383+I401</f>
        <v>0</v>
      </c>
      <c r="J347" s="29">
        <f aca="true" t="shared" si="21" ref="I347:K352">J365+J383+J401</f>
        <v>0</v>
      </c>
      <c r="K347" s="29">
        <f t="shared" si="21"/>
        <v>0</v>
      </c>
      <c r="L347" s="127"/>
      <c r="M347" s="95"/>
    </row>
    <row r="348" spans="1:13" s="15" customFormat="1" ht="12.75" customHeight="1">
      <c r="A348" s="407"/>
      <c r="C348" s="154"/>
      <c r="D348" s="444" t="s">
        <v>8</v>
      </c>
      <c r="E348" s="448"/>
      <c r="F348" s="448"/>
      <c r="G348" s="448"/>
      <c r="H348" s="448"/>
      <c r="I348" s="29">
        <f t="shared" si="21"/>
        <v>99492</v>
      </c>
      <c r="J348" s="29">
        <f t="shared" si="21"/>
        <v>0</v>
      </c>
      <c r="K348" s="29">
        <f t="shared" si="21"/>
        <v>99492</v>
      </c>
      <c r="L348" s="127"/>
      <c r="M348" s="95"/>
    </row>
    <row r="349" spans="1:13" s="15" customFormat="1" ht="13.5" customHeight="1" hidden="1">
      <c r="A349" s="407"/>
      <c r="C349" s="154"/>
      <c r="D349" s="444" t="s">
        <v>10</v>
      </c>
      <c r="E349" s="444"/>
      <c r="F349" s="444"/>
      <c r="G349" s="444"/>
      <c r="H349" s="444"/>
      <c r="I349" s="29">
        <f t="shared" si="21"/>
        <v>0</v>
      </c>
      <c r="J349" s="29">
        <f t="shared" si="21"/>
        <v>0</v>
      </c>
      <c r="K349" s="29">
        <f t="shared" si="21"/>
        <v>0</v>
      </c>
      <c r="L349" s="127"/>
      <c r="M349" s="95"/>
    </row>
    <row r="350" spans="1:13" s="15" customFormat="1" ht="13.5" customHeight="1" hidden="1">
      <c r="A350" s="407"/>
      <c r="C350" s="154"/>
      <c r="D350" s="444" t="s">
        <v>9</v>
      </c>
      <c r="E350" s="444"/>
      <c r="F350" s="444"/>
      <c r="G350" s="444"/>
      <c r="H350" s="444"/>
      <c r="I350" s="29">
        <f t="shared" si="21"/>
        <v>0</v>
      </c>
      <c r="J350" s="29">
        <f t="shared" si="21"/>
        <v>0</v>
      </c>
      <c r="K350" s="29">
        <f t="shared" si="21"/>
        <v>0</v>
      </c>
      <c r="L350" s="127"/>
      <c r="M350" s="95"/>
    </row>
    <row r="351" spans="1:13" s="15" customFormat="1" ht="13.5" customHeight="1">
      <c r="A351" s="407"/>
      <c r="C351" s="154"/>
      <c r="D351" s="444" t="s">
        <v>11</v>
      </c>
      <c r="E351" s="444"/>
      <c r="F351" s="444"/>
      <c r="G351" s="444"/>
      <c r="H351" s="444"/>
      <c r="I351" s="29">
        <f t="shared" si="21"/>
        <v>66450</v>
      </c>
      <c r="J351" s="29">
        <f t="shared" si="21"/>
        <v>0</v>
      </c>
      <c r="K351" s="29">
        <f t="shared" si="21"/>
        <v>66450</v>
      </c>
      <c r="L351" s="127"/>
      <c r="M351" s="95"/>
    </row>
    <row r="352" spans="1:13" s="79" customFormat="1" ht="13.5" customHeight="1" hidden="1">
      <c r="A352" s="407"/>
      <c r="C352" s="151"/>
      <c r="D352" s="444" t="s">
        <v>12</v>
      </c>
      <c r="E352" s="444"/>
      <c r="F352" s="444"/>
      <c r="G352" s="444"/>
      <c r="H352" s="444"/>
      <c r="I352" s="29">
        <f t="shared" si="21"/>
        <v>0</v>
      </c>
      <c r="J352" s="29">
        <f t="shared" si="21"/>
        <v>0</v>
      </c>
      <c r="K352" s="29">
        <f t="shared" si="21"/>
        <v>0</v>
      </c>
      <c r="L352" s="80"/>
      <c r="M352" s="82"/>
    </row>
    <row r="353" spans="1:13" s="79" customFormat="1" ht="13.5" customHeight="1">
      <c r="A353" s="407"/>
      <c r="C353" s="151"/>
      <c r="D353" s="445" t="s">
        <v>277</v>
      </c>
      <c r="E353" s="445"/>
      <c r="F353" s="445"/>
      <c r="G353" s="445"/>
      <c r="H353" s="445"/>
      <c r="I353" s="77">
        <f>I342-I346</f>
        <v>0</v>
      </c>
      <c r="J353" s="77">
        <f>J342-J346</f>
        <v>0</v>
      </c>
      <c r="K353" s="77">
        <f>K342-K346</f>
        <v>0</v>
      </c>
      <c r="L353" s="80"/>
      <c r="M353" s="82"/>
    </row>
    <row r="354" spans="1:13" s="79" customFormat="1" ht="12.75" customHeight="1">
      <c r="A354" s="407"/>
      <c r="C354" s="151"/>
      <c r="D354" s="444" t="s">
        <v>279</v>
      </c>
      <c r="E354" s="444"/>
      <c r="F354" s="444"/>
      <c r="G354" s="444"/>
      <c r="H354" s="444"/>
      <c r="I354" s="29">
        <f>I355+I356+I357</f>
        <v>0</v>
      </c>
      <c r="J354" s="29">
        <f>J355+J356+J357</f>
        <v>0</v>
      </c>
      <c r="K354" s="29">
        <f>K355+K356+K357</f>
        <v>0</v>
      </c>
      <c r="L354" s="80"/>
      <c r="M354" s="82"/>
    </row>
    <row r="355" spans="1:13" s="79" customFormat="1" ht="13.5" customHeight="1" hidden="1">
      <c r="A355" s="407"/>
      <c r="C355" s="151"/>
      <c r="D355" s="444" t="s">
        <v>278</v>
      </c>
      <c r="E355" s="444"/>
      <c r="F355" s="444"/>
      <c r="G355" s="444"/>
      <c r="H355" s="444"/>
      <c r="I355" s="29">
        <f aca="true" t="shared" si="22" ref="I355:K357">I373+I391+I409</f>
        <v>0</v>
      </c>
      <c r="J355" s="29">
        <f t="shared" si="22"/>
        <v>0</v>
      </c>
      <c r="K355" s="29">
        <f t="shared" si="22"/>
        <v>0</v>
      </c>
      <c r="L355" s="80"/>
      <c r="M355" s="82"/>
    </row>
    <row r="356" spans="1:13" s="79" customFormat="1" ht="13.5" customHeight="1" hidden="1">
      <c r="A356" s="407"/>
      <c r="C356" s="151"/>
      <c r="D356" s="444" t="s">
        <v>280</v>
      </c>
      <c r="E356" s="444"/>
      <c r="F356" s="444"/>
      <c r="G356" s="444"/>
      <c r="H356" s="444"/>
      <c r="I356" s="29">
        <f t="shared" si="22"/>
        <v>0</v>
      </c>
      <c r="J356" s="29">
        <f t="shared" si="22"/>
        <v>0</v>
      </c>
      <c r="K356" s="29">
        <f t="shared" si="22"/>
        <v>0</v>
      </c>
      <c r="L356" s="80"/>
      <c r="M356" s="82"/>
    </row>
    <row r="357" spans="1:13" s="79" customFormat="1" ht="13.5" customHeight="1" hidden="1">
      <c r="A357" s="407"/>
      <c r="C357" s="151"/>
      <c r="D357" s="444" t="s">
        <v>281</v>
      </c>
      <c r="E357" s="444"/>
      <c r="F357" s="444"/>
      <c r="G357" s="444"/>
      <c r="H357" s="444"/>
      <c r="I357" s="29">
        <f t="shared" si="22"/>
        <v>0</v>
      </c>
      <c r="J357" s="29">
        <f t="shared" si="22"/>
        <v>0</v>
      </c>
      <c r="K357" s="29">
        <f t="shared" si="22"/>
        <v>0</v>
      </c>
      <c r="L357" s="80"/>
      <c r="M357" s="82"/>
    </row>
    <row r="358" spans="1:13" s="79" customFormat="1" ht="7.5" customHeight="1">
      <c r="A358" s="407"/>
      <c r="C358" s="151"/>
      <c r="D358" s="85"/>
      <c r="E358" s="85"/>
      <c r="F358" s="85"/>
      <c r="G358" s="85"/>
      <c r="H358" s="85"/>
      <c r="I358" s="29"/>
      <c r="J358" s="77"/>
      <c r="K358" s="77"/>
      <c r="L358" s="80"/>
      <c r="M358" s="82"/>
    </row>
    <row r="359" spans="1:12" s="95" customFormat="1" ht="13.5" customHeight="1">
      <c r="A359" s="407"/>
      <c r="C359" s="153" t="s">
        <v>47</v>
      </c>
      <c r="D359" s="449" t="s">
        <v>89</v>
      </c>
      <c r="E359" s="449"/>
      <c r="F359" s="449"/>
      <c r="G359" s="449"/>
      <c r="H359" s="449"/>
      <c r="I359" s="129"/>
      <c r="J359" s="127"/>
      <c r="K359" s="129"/>
      <c r="L359" s="127"/>
    </row>
    <row r="360" spans="1:12" s="82" customFormat="1" ht="13.5" customHeight="1">
      <c r="A360" s="407"/>
      <c r="C360" s="149"/>
      <c r="D360" s="447" t="s">
        <v>37</v>
      </c>
      <c r="E360" s="447"/>
      <c r="F360" s="447"/>
      <c r="G360" s="447"/>
      <c r="H360" s="447"/>
      <c r="I360" s="77">
        <f>SUM(I361:I363)</f>
        <v>440</v>
      </c>
      <c r="J360" s="77">
        <f>SUM(J361:J363)</f>
        <v>0</v>
      </c>
      <c r="K360" s="77">
        <f>SUM(K361:K363)</f>
        <v>440</v>
      </c>
      <c r="L360" s="80"/>
    </row>
    <row r="361" spans="1:12" s="82" customFormat="1" ht="12.75" customHeight="1">
      <c r="A361" s="407"/>
      <c r="C361" s="149"/>
      <c r="D361" s="446" t="s">
        <v>5</v>
      </c>
      <c r="E361" s="446"/>
      <c r="F361" s="446"/>
      <c r="G361" s="446"/>
      <c r="H361" s="446"/>
      <c r="I361" s="29">
        <f>8000-7560</f>
        <v>440</v>
      </c>
      <c r="J361" s="80"/>
      <c r="K361" s="29">
        <f>SUM(I361:J361)</f>
        <v>440</v>
      </c>
      <c r="L361" s="80"/>
    </row>
    <row r="362" spans="1:12" s="82" customFormat="1" ht="13.5" customHeight="1" hidden="1">
      <c r="A362" s="407"/>
      <c r="C362" s="149"/>
      <c r="D362" s="446" t="s">
        <v>6</v>
      </c>
      <c r="E362" s="446"/>
      <c r="F362" s="446"/>
      <c r="G362" s="446"/>
      <c r="H362" s="446"/>
      <c r="I362" s="29"/>
      <c r="J362" s="80"/>
      <c r="K362" s="29">
        <f>SUM(I362:J362)</f>
        <v>0</v>
      </c>
      <c r="L362" s="80"/>
    </row>
    <row r="363" spans="1:12" s="82" customFormat="1" ht="13.5" customHeight="1" hidden="1">
      <c r="A363" s="407"/>
      <c r="C363" s="149"/>
      <c r="D363" s="446" t="s">
        <v>7</v>
      </c>
      <c r="E363" s="446"/>
      <c r="F363" s="446"/>
      <c r="G363" s="446"/>
      <c r="H363" s="446"/>
      <c r="I363" s="29"/>
      <c r="J363" s="80"/>
      <c r="K363" s="29">
        <f>SUM(I363:J363)</f>
        <v>0</v>
      </c>
      <c r="L363" s="80"/>
    </row>
    <row r="364" spans="1:12" s="82" customFormat="1" ht="13.5" customHeight="1">
      <c r="A364" s="407"/>
      <c r="C364" s="149"/>
      <c r="D364" s="447" t="s">
        <v>38</v>
      </c>
      <c r="E364" s="447"/>
      <c r="F364" s="447"/>
      <c r="G364" s="447"/>
      <c r="H364" s="447"/>
      <c r="I364" s="254">
        <f>SUM(I365:I370)</f>
        <v>440</v>
      </c>
      <c r="J364" s="254">
        <f>SUM(J365:J370)</f>
        <v>0</v>
      </c>
      <c r="K364" s="254">
        <f>SUM(K365:K370)</f>
        <v>440</v>
      </c>
      <c r="L364" s="80"/>
    </row>
    <row r="365" spans="1:12" s="82" customFormat="1" ht="13.5" customHeight="1" hidden="1">
      <c r="A365" s="407"/>
      <c r="C365" s="149"/>
      <c r="D365" s="446" t="s">
        <v>289</v>
      </c>
      <c r="E365" s="446"/>
      <c r="F365" s="446"/>
      <c r="G365" s="446"/>
      <c r="H365" s="446"/>
      <c r="I365" s="29"/>
      <c r="J365" s="80"/>
      <c r="K365" s="29">
        <f aca="true" t="shared" si="23" ref="K365:K370">SUM(I365:J365)</f>
        <v>0</v>
      </c>
      <c r="L365" s="80"/>
    </row>
    <row r="366" spans="1:12" s="82" customFormat="1" ht="12.75" customHeight="1">
      <c r="A366" s="407"/>
      <c r="C366" s="149"/>
      <c r="D366" s="444" t="s">
        <v>8</v>
      </c>
      <c r="E366" s="448"/>
      <c r="F366" s="448"/>
      <c r="G366" s="448"/>
      <c r="H366" s="448"/>
      <c r="I366" s="29">
        <f>8000-7560</f>
        <v>440</v>
      </c>
      <c r="J366" s="80"/>
      <c r="K366" s="29">
        <f t="shared" si="23"/>
        <v>440</v>
      </c>
      <c r="L366" s="80"/>
    </row>
    <row r="367" spans="1:12" s="82" customFormat="1" ht="13.5" customHeight="1" hidden="1">
      <c r="A367" s="407"/>
      <c r="C367" s="149"/>
      <c r="D367" s="444" t="s">
        <v>10</v>
      </c>
      <c r="E367" s="444"/>
      <c r="F367" s="444"/>
      <c r="G367" s="444"/>
      <c r="H367" s="444"/>
      <c r="I367" s="29"/>
      <c r="J367" s="80"/>
      <c r="K367" s="29">
        <f t="shared" si="23"/>
        <v>0</v>
      </c>
      <c r="L367" s="80"/>
    </row>
    <row r="368" spans="1:13" s="79" customFormat="1" ht="13.5" customHeight="1" hidden="1">
      <c r="A368" s="407"/>
      <c r="C368" s="151"/>
      <c r="D368" s="444" t="s">
        <v>9</v>
      </c>
      <c r="E368" s="444"/>
      <c r="F368" s="444"/>
      <c r="G368" s="444"/>
      <c r="H368" s="444"/>
      <c r="I368" s="29"/>
      <c r="J368" s="77"/>
      <c r="K368" s="29">
        <f t="shared" si="23"/>
        <v>0</v>
      </c>
      <c r="L368" s="80"/>
      <c r="M368" s="82"/>
    </row>
    <row r="369" spans="1:12" s="82" customFormat="1" ht="13.5" customHeight="1" hidden="1">
      <c r="A369" s="407"/>
      <c r="C369" s="149"/>
      <c r="D369" s="444" t="s">
        <v>11</v>
      </c>
      <c r="E369" s="444"/>
      <c r="F369" s="444"/>
      <c r="G369" s="444"/>
      <c r="H369" s="444"/>
      <c r="I369" s="29"/>
      <c r="J369" s="80"/>
      <c r="K369" s="29">
        <f t="shared" si="23"/>
        <v>0</v>
      </c>
      <c r="L369" s="80"/>
    </row>
    <row r="370" spans="1:13" s="79" customFormat="1" ht="13.5" customHeight="1" hidden="1">
      <c r="A370" s="407"/>
      <c r="C370" s="151"/>
      <c r="D370" s="444" t="s">
        <v>12</v>
      </c>
      <c r="E370" s="444"/>
      <c r="F370" s="444"/>
      <c r="G370" s="444"/>
      <c r="H370" s="444"/>
      <c r="I370" s="29"/>
      <c r="J370" s="77"/>
      <c r="K370" s="29">
        <f t="shared" si="23"/>
        <v>0</v>
      </c>
      <c r="L370" s="80"/>
      <c r="M370" s="82"/>
    </row>
    <row r="371" spans="1:13" s="79" customFormat="1" ht="13.5" customHeight="1">
      <c r="A371" s="407"/>
      <c r="C371" s="151"/>
      <c r="D371" s="445" t="s">
        <v>277</v>
      </c>
      <c r="E371" s="445"/>
      <c r="F371" s="445"/>
      <c r="G371" s="445"/>
      <c r="H371" s="445"/>
      <c r="I371" s="77">
        <f>I360-I364</f>
        <v>0</v>
      </c>
      <c r="J371" s="77">
        <f>J360-J364</f>
        <v>0</v>
      </c>
      <c r="K371" s="77">
        <f>K360-K364</f>
        <v>0</v>
      </c>
      <c r="L371" s="80"/>
      <c r="M371" s="82"/>
    </row>
    <row r="372" spans="1:13" s="79" customFormat="1" ht="13.5" customHeight="1">
      <c r="A372" s="407"/>
      <c r="C372" s="151"/>
      <c r="D372" s="444" t="s">
        <v>279</v>
      </c>
      <c r="E372" s="444"/>
      <c r="F372" s="444"/>
      <c r="G372" s="444"/>
      <c r="H372" s="444"/>
      <c r="I372" s="29">
        <f>I373+I374+I375</f>
        <v>0</v>
      </c>
      <c r="J372" s="29">
        <f>J373+J374+J375</f>
        <v>0</v>
      </c>
      <c r="K372" s="29">
        <f>K373+K374+K375</f>
        <v>0</v>
      </c>
      <c r="L372" s="80"/>
      <c r="M372" s="82"/>
    </row>
    <row r="373" spans="1:13" s="79" customFormat="1" ht="13.5" customHeight="1" hidden="1">
      <c r="A373" s="407"/>
      <c r="C373" s="151"/>
      <c r="D373" s="444" t="s">
        <v>278</v>
      </c>
      <c r="E373" s="444"/>
      <c r="F373" s="444"/>
      <c r="G373" s="444"/>
      <c r="H373" s="444"/>
      <c r="I373" s="29"/>
      <c r="J373" s="77"/>
      <c r="K373" s="80">
        <f>SUM(I373:J373)</f>
        <v>0</v>
      </c>
      <c r="L373" s="80"/>
      <c r="M373" s="82"/>
    </row>
    <row r="374" spans="1:13" s="79" customFormat="1" ht="13.5" customHeight="1" hidden="1">
      <c r="A374" s="407"/>
      <c r="C374" s="151"/>
      <c r="D374" s="444" t="s">
        <v>280</v>
      </c>
      <c r="E374" s="444"/>
      <c r="F374" s="444"/>
      <c r="G374" s="444"/>
      <c r="H374" s="444"/>
      <c r="I374" s="29"/>
      <c r="J374" s="77"/>
      <c r="K374" s="80">
        <f>SUM(I374:J374)</f>
        <v>0</v>
      </c>
      <c r="L374" s="80"/>
      <c r="M374" s="82"/>
    </row>
    <row r="375" spans="1:13" s="79" customFormat="1" ht="13.5" customHeight="1" hidden="1">
      <c r="A375" s="407"/>
      <c r="C375" s="151"/>
      <c r="D375" s="444" t="s">
        <v>281</v>
      </c>
      <c r="E375" s="444"/>
      <c r="F375" s="444"/>
      <c r="G375" s="444"/>
      <c r="H375" s="444"/>
      <c r="I375" s="29"/>
      <c r="J375" s="77"/>
      <c r="K375" s="80">
        <f>SUM(I375:J375)</f>
        <v>0</v>
      </c>
      <c r="L375" s="80"/>
      <c r="M375" s="82"/>
    </row>
    <row r="376" spans="1:13" s="79" customFormat="1" ht="13.5" customHeight="1">
      <c r="A376" s="407"/>
      <c r="C376" s="151"/>
      <c r="D376" s="85"/>
      <c r="E376" s="85"/>
      <c r="F376" s="85"/>
      <c r="G376" s="85"/>
      <c r="H376" s="85"/>
      <c r="I376" s="29"/>
      <c r="J376" s="77"/>
      <c r="K376" s="77"/>
      <c r="L376" s="80"/>
      <c r="M376" s="82"/>
    </row>
    <row r="377" spans="1:12" s="95" customFormat="1" ht="13.5" customHeight="1">
      <c r="A377" s="407"/>
      <c r="C377" s="153" t="s">
        <v>90</v>
      </c>
      <c r="D377" s="449" t="s">
        <v>91</v>
      </c>
      <c r="E377" s="449"/>
      <c r="F377" s="449"/>
      <c r="G377" s="449"/>
      <c r="H377" s="449"/>
      <c r="I377" s="129"/>
      <c r="J377" s="127"/>
      <c r="K377" s="129"/>
      <c r="L377" s="127"/>
    </row>
    <row r="378" spans="1:13" s="82" customFormat="1" ht="13.5" customHeight="1">
      <c r="A378" s="407"/>
      <c r="C378" s="149"/>
      <c r="D378" s="447" t="s">
        <v>37</v>
      </c>
      <c r="E378" s="447"/>
      <c r="F378" s="447"/>
      <c r="G378" s="447"/>
      <c r="H378" s="447"/>
      <c r="I378" s="77">
        <f>SUM(I379:I381)</f>
        <v>165502</v>
      </c>
      <c r="J378" s="77">
        <f>SUM(J379:J381)</f>
        <v>0</v>
      </c>
      <c r="K378" s="77">
        <f>SUM(K379:K381)</f>
        <v>165502</v>
      </c>
      <c r="L378" s="80"/>
      <c r="M378" s="80"/>
    </row>
    <row r="379" spans="1:12" s="82" customFormat="1" ht="12" customHeight="1">
      <c r="A379" s="407"/>
      <c r="C379" s="149"/>
      <c r="D379" s="446" t="s">
        <v>5</v>
      </c>
      <c r="E379" s="446"/>
      <c r="F379" s="446"/>
      <c r="G379" s="446"/>
      <c r="H379" s="446"/>
      <c r="I379" s="29">
        <f>1309641+157836-1301975</f>
        <v>165502</v>
      </c>
      <c r="J379" s="80"/>
      <c r="K379" s="29">
        <f>SUM(I379:J379)</f>
        <v>165502</v>
      </c>
      <c r="L379" s="80"/>
    </row>
    <row r="380" spans="1:12" s="82" customFormat="1" ht="13.5" customHeight="1" hidden="1">
      <c r="A380" s="407"/>
      <c r="C380" s="149"/>
      <c r="D380" s="446" t="s">
        <v>6</v>
      </c>
      <c r="E380" s="446"/>
      <c r="F380" s="446"/>
      <c r="G380" s="446"/>
      <c r="H380" s="446"/>
      <c r="I380" s="29"/>
      <c r="J380" s="80"/>
      <c r="K380" s="29">
        <f>SUM(I380:J380)</f>
        <v>0</v>
      </c>
      <c r="L380" s="80"/>
    </row>
    <row r="381" spans="1:12" s="82" customFormat="1" ht="13.5" customHeight="1" hidden="1">
      <c r="A381" s="407"/>
      <c r="C381" s="149"/>
      <c r="D381" s="446" t="s">
        <v>7</v>
      </c>
      <c r="E381" s="446"/>
      <c r="F381" s="446"/>
      <c r="G381" s="446"/>
      <c r="H381" s="446"/>
      <c r="I381" s="29"/>
      <c r="J381" s="80"/>
      <c r="K381" s="29">
        <f>SUM(I381:J381)</f>
        <v>0</v>
      </c>
      <c r="L381" s="80"/>
    </row>
    <row r="382" spans="1:12" s="82" customFormat="1" ht="13.5" customHeight="1">
      <c r="A382" s="407"/>
      <c r="C382" s="149"/>
      <c r="D382" s="447" t="s">
        <v>38</v>
      </c>
      <c r="E382" s="447"/>
      <c r="F382" s="447"/>
      <c r="G382" s="447"/>
      <c r="H382" s="447"/>
      <c r="I382" s="254">
        <f>SUM(I383:I388)</f>
        <v>165502</v>
      </c>
      <c r="J382" s="254">
        <f>SUM(J383:J388)</f>
        <v>0</v>
      </c>
      <c r="K382" s="254">
        <f>SUM(K383:K388)</f>
        <v>165502</v>
      </c>
      <c r="L382" s="80"/>
    </row>
    <row r="383" spans="1:12" s="82" customFormat="1" ht="13.5" customHeight="1" hidden="1">
      <c r="A383" s="407"/>
      <c r="C383" s="149"/>
      <c r="D383" s="446" t="s">
        <v>289</v>
      </c>
      <c r="E383" s="446"/>
      <c r="F383" s="446"/>
      <c r="G383" s="446"/>
      <c r="H383" s="446"/>
      <c r="I383" s="29"/>
      <c r="J383" s="80"/>
      <c r="K383" s="29">
        <f aca="true" t="shared" si="24" ref="K383:K388">SUM(I383:J383)</f>
        <v>0</v>
      </c>
      <c r="L383" s="80"/>
    </row>
    <row r="384" spans="1:12" s="82" customFormat="1" ht="13.5" customHeight="1">
      <c r="A384" s="407"/>
      <c r="C384" s="149"/>
      <c r="D384" s="444" t="s">
        <v>8</v>
      </c>
      <c r="E384" s="448"/>
      <c r="F384" s="448"/>
      <c r="G384" s="448"/>
      <c r="H384" s="448"/>
      <c r="I384" s="29">
        <f>1096457-997405</f>
        <v>99052</v>
      </c>
      <c r="J384" s="80"/>
      <c r="K384" s="29">
        <f t="shared" si="24"/>
        <v>99052</v>
      </c>
      <c r="L384" s="80"/>
    </row>
    <row r="385" spans="1:12" s="82" customFormat="1" ht="13.5" customHeight="1" hidden="1">
      <c r="A385" s="407"/>
      <c r="C385" s="149"/>
      <c r="D385" s="444" t="s">
        <v>10</v>
      </c>
      <c r="E385" s="444"/>
      <c r="F385" s="444"/>
      <c r="G385" s="444"/>
      <c r="H385" s="444"/>
      <c r="I385" s="29"/>
      <c r="J385" s="80"/>
      <c r="K385" s="29">
        <f t="shared" si="24"/>
        <v>0</v>
      </c>
      <c r="L385" s="80"/>
    </row>
    <row r="386" spans="1:13" s="79" customFormat="1" ht="13.5" customHeight="1" hidden="1">
      <c r="A386" s="407"/>
      <c r="C386" s="151"/>
      <c r="D386" s="444" t="s">
        <v>9</v>
      </c>
      <c r="E386" s="444"/>
      <c r="F386" s="444"/>
      <c r="G386" s="444"/>
      <c r="H386" s="444"/>
      <c r="I386" s="29"/>
      <c r="J386" s="77"/>
      <c r="K386" s="29">
        <f t="shared" si="24"/>
        <v>0</v>
      </c>
      <c r="L386" s="80"/>
      <c r="M386" s="82"/>
    </row>
    <row r="387" spans="1:12" s="82" customFormat="1" ht="13.5" customHeight="1">
      <c r="A387" s="407"/>
      <c r="C387" s="149"/>
      <c r="D387" s="444" t="s">
        <v>11</v>
      </c>
      <c r="E387" s="444"/>
      <c r="F387" s="444"/>
      <c r="G387" s="444"/>
      <c r="H387" s="444"/>
      <c r="I387" s="29">
        <f>371020-304570</f>
        <v>66450</v>
      </c>
      <c r="J387" s="80"/>
      <c r="K387" s="29">
        <f t="shared" si="24"/>
        <v>66450</v>
      </c>
      <c r="L387" s="80"/>
    </row>
    <row r="388" spans="1:13" s="79" customFormat="1" ht="13.5" customHeight="1" hidden="1">
      <c r="A388" s="407"/>
      <c r="C388" s="151"/>
      <c r="D388" s="444" t="s">
        <v>12</v>
      </c>
      <c r="E388" s="444"/>
      <c r="F388" s="444"/>
      <c r="G388" s="444"/>
      <c r="H388" s="444"/>
      <c r="I388" s="29"/>
      <c r="J388" s="77"/>
      <c r="K388" s="29">
        <f t="shared" si="24"/>
        <v>0</v>
      </c>
      <c r="L388" s="80"/>
      <c r="M388" s="82"/>
    </row>
    <row r="389" spans="1:13" s="79" customFormat="1" ht="13.5" customHeight="1">
      <c r="A389" s="407"/>
      <c r="C389" s="151"/>
      <c r="D389" s="445" t="s">
        <v>277</v>
      </c>
      <c r="E389" s="445"/>
      <c r="F389" s="445"/>
      <c r="G389" s="445"/>
      <c r="H389" s="445"/>
      <c r="I389" s="77">
        <f>I378-I382</f>
        <v>0</v>
      </c>
      <c r="J389" s="77">
        <f>J378-J382</f>
        <v>0</v>
      </c>
      <c r="K389" s="77">
        <f>K378-K382</f>
        <v>0</v>
      </c>
      <c r="L389" s="80"/>
      <c r="M389" s="82"/>
    </row>
    <row r="390" spans="1:13" s="79" customFormat="1" ht="13.5" customHeight="1">
      <c r="A390" s="407"/>
      <c r="C390" s="151"/>
      <c r="D390" s="444" t="s">
        <v>279</v>
      </c>
      <c r="E390" s="444"/>
      <c r="F390" s="444"/>
      <c r="G390" s="444"/>
      <c r="H390" s="444"/>
      <c r="I390" s="29">
        <f>I391+I392+I393</f>
        <v>0</v>
      </c>
      <c r="J390" s="29">
        <f>J391+J392+J393</f>
        <v>0</v>
      </c>
      <c r="K390" s="29">
        <f>K391+K392+K393</f>
        <v>0</v>
      </c>
      <c r="L390" s="80"/>
      <c r="M390" s="82"/>
    </row>
    <row r="391" spans="1:13" s="79" customFormat="1" ht="13.5" customHeight="1" hidden="1">
      <c r="A391" s="407"/>
      <c r="C391" s="151"/>
      <c r="D391" s="444" t="s">
        <v>278</v>
      </c>
      <c r="E391" s="444"/>
      <c r="F391" s="444"/>
      <c r="G391" s="444"/>
      <c r="H391" s="444"/>
      <c r="I391" s="29"/>
      <c r="J391" s="77"/>
      <c r="K391" s="80">
        <f>SUM(I391:J391)</f>
        <v>0</v>
      </c>
      <c r="L391" s="80"/>
      <c r="M391" s="82"/>
    </row>
    <row r="392" spans="1:13" s="79" customFormat="1" ht="13.5" customHeight="1" hidden="1">
      <c r="A392" s="407"/>
      <c r="C392" s="151"/>
      <c r="D392" s="444" t="s">
        <v>280</v>
      </c>
      <c r="E392" s="444"/>
      <c r="F392" s="444"/>
      <c r="G392" s="444"/>
      <c r="H392" s="444"/>
      <c r="I392" s="29"/>
      <c r="J392" s="77"/>
      <c r="K392" s="80">
        <f>SUM(I392:J392)</f>
        <v>0</v>
      </c>
      <c r="L392" s="80"/>
      <c r="M392" s="82"/>
    </row>
    <row r="393" spans="1:13" s="79" customFormat="1" ht="13.5" customHeight="1" hidden="1">
      <c r="A393" s="407"/>
      <c r="C393" s="151"/>
      <c r="D393" s="444" t="s">
        <v>281</v>
      </c>
      <c r="E393" s="444"/>
      <c r="F393" s="444"/>
      <c r="G393" s="444"/>
      <c r="H393" s="444"/>
      <c r="I393" s="29"/>
      <c r="J393" s="77"/>
      <c r="K393" s="80">
        <f>SUM(I393:J393)</f>
        <v>0</v>
      </c>
      <c r="L393" s="80"/>
      <c r="M393" s="82"/>
    </row>
    <row r="394" spans="1:12" s="82" customFormat="1" ht="8.25" customHeight="1" hidden="1">
      <c r="A394" s="407"/>
      <c r="C394" s="149"/>
      <c r="D394" s="81"/>
      <c r="E394" s="81"/>
      <c r="F394" s="81"/>
      <c r="G394" s="81"/>
      <c r="H394" s="81"/>
      <c r="I394" s="29"/>
      <c r="J394" s="80"/>
      <c r="K394" s="29"/>
      <c r="L394" s="80"/>
    </row>
    <row r="395" spans="1:12" s="95" customFormat="1" ht="13.5" customHeight="1" hidden="1">
      <c r="A395" s="407"/>
      <c r="C395" s="153" t="s">
        <v>90</v>
      </c>
      <c r="D395" s="449" t="s">
        <v>230</v>
      </c>
      <c r="E395" s="449"/>
      <c r="F395" s="449"/>
      <c r="G395" s="449"/>
      <c r="H395" s="449"/>
      <c r="I395" s="129"/>
      <c r="J395" s="127"/>
      <c r="K395" s="129"/>
      <c r="L395" s="127"/>
    </row>
    <row r="396" spans="1:12" s="82" customFormat="1" ht="13.5" customHeight="1" hidden="1">
      <c r="A396" s="407"/>
      <c r="C396" s="149"/>
      <c r="D396" s="447" t="s">
        <v>37</v>
      </c>
      <c r="E396" s="447"/>
      <c r="F396" s="447"/>
      <c r="G396" s="447"/>
      <c r="H396" s="447"/>
      <c r="I396" s="77">
        <f>SUM(I397:I399)</f>
        <v>0</v>
      </c>
      <c r="J396" s="77">
        <f>SUM(J397:J399)</f>
        <v>0</v>
      </c>
      <c r="K396" s="77">
        <f>SUM(K397:K399)</f>
        <v>0</v>
      </c>
      <c r="L396" s="80"/>
    </row>
    <row r="397" spans="1:12" s="82" customFormat="1" ht="13.5" customHeight="1" hidden="1">
      <c r="A397" s="407"/>
      <c r="C397" s="149"/>
      <c r="D397" s="446" t="s">
        <v>5</v>
      </c>
      <c r="E397" s="446"/>
      <c r="F397" s="446"/>
      <c r="G397" s="446"/>
      <c r="H397" s="446"/>
      <c r="I397" s="77"/>
      <c r="J397" s="80"/>
      <c r="K397" s="29">
        <f>SUM(I397:J397)</f>
        <v>0</v>
      </c>
      <c r="L397" s="80"/>
    </row>
    <row r="398" spans="1:12" s="82" customFormat="1" ht="13.5" customHeight="1" hidden="1">
      <c r="A398" s="407"/>
      <c r="C398" s="149"/>
      <c r="D398" s="446" t="s">
        <v>6</v>
      </c>
      <c r="E398" s="446"/>
      <c r="F398" s="446"/>
      <c r="G398" s="446"/>
      <c r="H398" s="446"/>
      <c r="I398" s="77"/>
      <c r="J398" s="80"/>
      <c r="K398" s="29">
        <f>SUM(I398:J398)</f>
        <v>0</v>
      </c>
      <c r="L398" s="80"/>
    </row>
    <row r="399" spans="1:12" s="82" customFormat="1" ht="13.5" customHeight="1" hidden="1">
      <c r="A399" s="407"/>
      <c r="C399" s="149"/>
      <c r="D399" s="446" t="s">
        <v>7</v>
      </c>
      <c r="E399" s="446"/>
      <c r="F399" s="446"/>
      <c r="G399" s="446"/>
      <c r="H399" s="446"/>
      <c r="I399" s="29"/>
      <c r="J399" s="80"/>
      <c r="K399" s="29">
        <f>SUM(I399:J399)</f>
        <v>0</v>
      </c>
      <c r="L399" s="80"/>
    </row>
    <row r="400" spans="1:12" s="82" customFormat="1" ht="13.5" customHeight="1" hidden="1">
      <c r="A400" s="407"/>
      <c r="C400" s="149"/>
      <c r="D400" s="447" t="s">
        <v>38</v>
      </c>
      <c r="E400" s="447"/>
      <c r="F400" s="447"/>
      <c r="G400" s="447"/>
      <c r="H400" s="447"/>
      <c r="I400" s="254">
        <f>SUM(I401:I406)</f>
        <v>0</v>
      </c>
      <c r="J400" s="254">
        <f>SUM(J401:J406)</f>
        <v>0</v>
      </c>
      <c r="K400" s="254">
        <f>SUM(K401:K406)</f>
        <v>0</v>
      </c>
      <c r="L400" s="80"/>
    </row>
    <row r="401" spans="1:12" s="82" customFormat="1" ht="13.5" customHeight="1" hidden="1">
      <c r="A401" s="407"/>
      <c r="C401" s="149"/>
      <c r="D401" s="446" t="s">
        <v>289</v>
      </c>
      <c r="E401" s="446"/>
      <c r="F401" s="446"/>
      <c r="G401" s="446"/>
      <c r="H401" s="446"/>
      <c r="I401" s="29"/>
      <c r="J401" s="80"/>
      <c r="K401" s="29">
        <f aca="true" t="shared" si="25" ref="K401:K406">SUM(I401:J401)</f>
        <v>0</v>
      </c>
      <c r="L401" s="80"/>
    </row>
    <row r="402" spans="1:12" s="82" customFormat="1" ht="13.5" customHeight="1" hidden="1">
      <c r="A402" s="407"/>
      <c r="C402" s="149"/>
      <c r="D402" s="444" t="s">
        <v>8</v>
      </c>
      <c r="E402" s="444"/>
      <c r="F402" s="444"/>
      <c r="G402" s="444"/>
      <c r="H402" s="444"/>
      <c r="I402" s="29"/>
      <c r="J402" s="80"/>
      <c r="K402" s="29">
        <f t="shared" si="25"/>
        <v>0</v>
      </c>
      <c r="L402" s="80"/>
    </row>
    <row r="403" spans="1:12" s="82" customFormat="1" ht="13.5" customHeight="1" hidden="1">
      <c r="A403" s="407"/>
      <c r="C403" s="149"/>
      <c r="D403" s="444" t="s">
        <v>10</v>
      </c>
      <c r="E403" s="444"/>
      <c r="F403" s="444"/>
      <c r="G403" s="444"/>
      <c r="H403" s="444"/>
      <c r="I403" s="29"/>
      <c r="J403" s="80"/>
      <c r="K403" s="29">
        <f t="shared" si="25"/>
        <v>0</v>
      </c>
      <c r="L403" s="80"/>
    </row>
    <row r="404" spans="1:12" s="82" customFormat="1" ht="13.5" customHeight="1" hidden="1">
      <c r="A404" s="407"/>
      <c r="C404" s="151"/>
      <c r="D404" s="444" t="s">
        <v>9</v>
      </c>
      <c r="E404" s="444"/>
      <c r="F404" s="444"/>
      <c r="G404" s="444"/>
      <c r="H404" s="444"/>
      <c r="I404" s="29"/>
      <c r="J404" s="77"/>
      <c r="K404" s="29">
        <f t="shared" si="25"/>
        <v>0</v>
      </c>
      <c r="L404" s="80"/>
    </row>
    <row r="405" spans="1:12" s="82" customFormat="1" ht="13.5" customHeight="1" hidden="1">
      <c r="A405" s="407"/>
      <c r="C405" s="149"/>
      <c r="D405" s="444" t="s">
        <v>11</v>
      </c>
      <c r="E405" s="444"/>
      <c r="F405" s="444"/>
      <c r="G405" s="444"/>
      <c r="H405" s="444"/>
      <c r="I405" s="29"/>
      <c r="J405" s="80"/>
      <c r="K405" s="29">
        <f t="shared" si="25"/>
        <v>0</v>
      </c>
      <c r="L405" s="80"/>
    </row>
    <row r="406" spans="1:12" s="82" customFormat="1" ht="13.5" customHeight="1" hidden="1">
      <c r="A406" s="407"/>
      <c r="C406" s="151"/>
      <c r="D406" s="444" t="s">
        <v>12</v>
      </c>
      <c r="E406" s="444"/>
      <c r="F406" s="444"/>
      <c r="G406" s="444"/>
      <c r="H406" s="444"/>
      <c r="I406" s="29"/>
      <c r="J406" s="77"/>
      <c r="K406" s="29">
        <f t="shared" si="25"/>
        <v>0</v>
      </c>
      <c r="L406" s="80"/>
    </row>
    <row r="407" spans="1:12" s="82" customFormat="1" ht="13.5" customHeight="1" hidden="1">
      <c r="A407" s="407"/>
      <c r="C407" s="151"/>
      <c r="D407" s="445" t="s">
        <v>277</v>
      </c>
      <c r="E407" s="445"/>
      <c r="F407" s="445"/>
      <c r="G407" s="445"/>
      <c r="H407" s="445"/>
      <c r="I407" s="77">
        <f>I396-I400</f>
        <v>0</v>
      </c>
      <c r="J407" s="77">
        <f>J396-J400</f>
        <v>0</v>
      </c>
      <c r="K407" s="77">
        <f>K396-K400</f>
        <v>0</v>
      </c>
      <c r="L407" s="80"/>
    </row>
    <row r="408" spans="1:12" s="82" customFormat="1" ht="13.5" customHeight="1" hidden="1">
      <c r="A408" s="407"/>
      <c r="C408" s="151"/>
      <c r="D408" s="444" t="s">
        <v>279</v>
      </c>
      <c r="E408" s="444"/>
      <c r="F408" s="444"/>
      <c r="G408" s="444"/>
      <c r="H408" s="444"/>
      <c r="I408" s="29">
        <f>I409+I410+I411</f>
        <v>0</v>
      </c>
      <c r="J408" s="29">
        <f>J409+J410+J411</f>
        <v>0</v>
      </c>
      <c r="K408" s="29">
        <f>K409+K410+K411</f>
        <v>0</v>
      </c>
      <c r="L408" s="80"/>
    </row>
    <row r="409" spans="1:12" s="82" customFormat="1" ht="13.5" customHeight="1" hidden="1">
      <c r="A409" s="407"/>
      <c r="C409" s="151"/>
      <c r="D409" s="444" t="s">
        <v>278</v>
      </c>
      <c r="E409" s="444"/>
      <c r="F409" s="444"/>
      <c r="G409" s="444"/>
      <c r="H409" s="444"/>
      <c r="I409" s="29"/>
      <c r="J409" s="77"/>
      <c r="K409" s="80">
        <f>SUM(I409:J409)</f>
        <v>0</v>
      </c>
      <c r="L409" s="80"/>
    </row>
    <row r="410" spans="1:12" s="82" customFormat="1" ht="13.5" customHeight="1" hidden="1">
      <c r="A410" s="407"/>
      <c r="C410" s="151"/>
      <c r="D410" s="444" t="s">
        <v>280</v>
      </c>
      <c r="E410" s="444"/>
      <c r="F410" s="444"/>
      <c r="G410" s="444"/>
      <c r="H410" s="444"/>
      <c r="I410" s="29"/>
      <c r="J410" s="77"/>
      <c r="K410" s="80">
        <f>SUM(I410:J410)</f>
        <v>0</v>
      </c>
      <c r="L410" s="80"/>
    </row>
    <row r="411" spans="1:12" s="82" customFormat="1" ht="13.5" customHeight="1" hidden="1">
      <c r="A411" s="407"/>
      <c r="C411" s="151"/>
      <c r="D411" s="444" t="s">
        <v>281</v>
      </c>
      <c r="E411" s="444"/>
      <c r="F411" s="444"/>
      <c r="G411" s="444"/>
      <c r="H411" s="444"/>
      <c r="I411" s="29"/>
      <c r="J411" s="77"/>
      <c r="K411" s="80">
        <f>SUM(I411:J411)</f>
        <v>0</v>
      </c>
      <c r="L411" s="80"/>
    </row>
    <row r="412" spans="1:12" s="82" customFormat="1" ht="13.5" customHeight="1" hidden="1">
      <c r="A412" s="407"/>
      <c r="C412" s="151"/>
      <c r="D412" s="85"/>
      <c r="E412" s="85"/>
      <c r="F412" s="85"/>
      <c r="G412" s="85"/>
      <c r="H412" s="85"/>
      <c r="I412" s="29"/>
      <c r="J412" s="77"/>
      <c r="K412" s="29"/>
      <c r="L412" s="80"/>
    </row>
    <row r="413" spans="1:12" s="82" customFormat="1" ht="6" customHeight="1" hidden="1">
      <c r="A413" s="407"/>
      <c r="C413" s="151"/>
      <c r="D413" s="85"/>
      <c r="E413" s="85"/>
      <c r="F413" s="85"/>
      <c r="G413" s="85"/>
      <c r="H413" s="85"/>
      <c r="I413" s="29"/>
      <c r="J413" s="77"/>
      <c r="K413" s="77"/>
      <c r="L413" s="80"/>
    </row>
    <row r="414" spans="1:12" s="82" customFormat="1" ht="2.25" customHeight="1">
      <c r="A414" s="407"/>
      <c r="C414" s="151"/>
      <c r="D414" s="85"/>
      <c r="E414" s="85"/>
      <c r="F414" s="85"/>
      <c r="G414" s="85"/>
      <c r="H414" s="85"/>
      <c r="I414" s="29"/>
      <c r="J414" s="77"/>
      <c r="K414" s="77"/>
      <c r="L414" s="80"/>
    </row>
    <row r="415" spans="1:12" s="82" customFormat="1" ht="14.25" customHeight="1">
      <c r="A415" s="407"/>
      <c r="C415" s="151"/>
      <c r="D415" s="85"/>
      <c r="E415" s="85"/>
      <c r="F415" s="85"/>
      <c r="G415" s="85"/>
      <c r="H415" s="85"/>
      <c r="I415" s="29"/>
      <c r="J415" s="77"/>
      <c r="K415" s="77"/>
      <c r="L415" s="80"/>
    </row>
    <row r="416" spans="1:12" s="82" customFormat="1" ht="14.25" customHeight="1">
      <c r="A416" s="407"/>
      <c r="C416" s="142" t="s">
        <v>43</v>
      </c>
      <c r="D416" s="450" t="s">
        <v>523</v>
      </c>
      <c r="E416" s="450"/>
      <c r="F416" s="450"/>
      <c r="G416" s="450"/>
      <c r="H416" s="450"/>
      <c r="I416" s="17"/>
      <c r="J416" s="126"/>
      <c r="K416" s="126"/>
      <c r="L416" s="80"/>
    </row>
    <row r="417" spans="1:12" s="82" customFormat="1" ht="14.25" customHeight="1">
      <c r="A417" s="407"/>
      <c r="C417" s="154"/>
      <c r="D417" s="447" t="s">
        <v>37</v>
      </c>
      <c r="E417" s="447"/>
      <c r="F417" s="447"/>
      <c r="G417" s="447"/>
      <c r="H417" s="447"/>
      <c r="I417" s="77">
        <f>SUM(I418:I420)</f>
        <v>1342662</v>
      </c>
      <c r="J417" s="77">
        <f>SUM(J418:J420)</f>
        <v>160442</v>
      </c>
      <c r="K417" s="77">
        <f>SUM(K418:K420)</f>
        <v>1503104</v>
      </c>
      <c r="L417" s="80"/>
    </row>
    <row r="418" spans="1:12" s="82" customFormat="1" ht="14.25" customHeight="1">
      <c r="A418" s="407"/>
      <c r="C418" s="154"/>
      <c r="D418" s="446" t="s">
        <v>5</v>
      </c>
      <c r="E418" s="446"/>
      <c r="F418" s="446"/>
      <c r="G418" s="446"/>
      <c r="H418" s="446"/>
      <c r="I418" s="29">
        <f aca="true" t="shared" si="26" ref="I418:K420">I436+I454+I472</f>
        <v>1342662</v>
      </c>
      <c r="J418" s="29">
        <f t="shared" si="26"/>
        <v>160442</v>
      </c>
      <c r="K418" s="29">
        <f t="shared" si="26"/>
        <v>1503104</v>
      </c>
      <c r="L418" s="80"/>
    </row>
    <row r="419" spans="1:12" s="82" customFormat="1" ht="14.25" customHeight="1" hidden="1">
      <c r="A419" s="407"/>
      <c r="C419" s="154"/>
      <c r="D419" s="446" t="s">
        <v>6</v>
      </c>
      <c r="E419" s="446"/>
      <c r="F419" s="446"/>
      <c r="G419" s="446"/>
      <c r="H419" s="446"/>
      <c r="I419" s="29">
        <f t="shared" si="26"/>
        <v>0</v>
      </c>
      <c r="J419" s="29">
        <f t="shared" si="26"/>
        <v>0</v>
      </c>
      <c r="K419" s="29">
        <f t="shared" si="26"/>
        <v>0</v>
      </c>
      <c r="L419" s="80"/>
    </row>
    <row r="420" spans="1:12" s="82" customFormat="1" ht="14.25" customHeight="1" hidden="1">
      <c r="A420" s="407"/>
      <c r="C420" s="154"/>
      <c r="D420" s="446" t="s">
        <v>7</v>
      </c>
      <c r="E420" s="446"/>
      <c r="F420" s="446"/>
      <c r="G420" s="446"/>
      <c r="H420" s="446"/>
      <c r="I420" s="29">
        <f t="shared" si="26"/>
        <v>0</v>
      </c>
      <c r="J420" s="29">
        <f t="shared" si="26"/>
        <v>0</v>
      </c>
      <c r="K420" s="29">
        <f t="shared" si="26"/>
        <v>0</v>
      </c>
      <c r="L420" s="80"/>
    </row>
    <row r="421" spans="1:12" s="82" customFormat="1" ht="15" customHeight="1">
      <c r="A421" s="407"/>
      <c r="C421" s="154"/>
      <c r="D421" s="447" t="s">
        <v>38</v>
      </c>
      <c r="E421" s="447"/>
      <c r="F421" s="447"/>
      <c r="G421" s="447"/>
      <c r="H421" s="447"/>
      <c r="I421" s="253">
        <f>SUM(I422:I427)</f>
        <v>1342662</v>
      </c>
      <c r="J421" s="253">
        <f>SUM(J422:J427)</f>
        <v>160442</v>
      </c>
      <c r="K421" s="253">
        <f>SUM(K422:K427)</f>
        <v>1503104</v>
      </c>
      <c r="L421" s="80"/>
    </row>
    <row r="422" spans="1:12" s="82" customFormat="1" ht="15.75" customHeight="1" hidden="1">
      <c r="A422" s="407"/>
      <c r="C422" s="154"/>
      <c r="D422" s="446" t="s">
        <v>289</v>
      </c>
      <c r="E422" s="446"/>
      <c r="F422" s="446"/>
      <c r="G422" s="446"/>
      <c r="H422" s="446"/>
      <c r="I422" s="29">
        <f aca="true" t="shared" si="27" ref="I422:K427">I440+I458+I476</f>
        <v>0</v>
      </c>
      <c r="J422" s="29">
        <f t="shared" si="27"/>
        <v>0</v>
      </c>
      <c r="K422" s="29">
        <f t="shared" si="27"/>
        <v>0</v>
      </c>
      <c r="L422" s="80"/>
    </row>
    <row r="423" spans="1:12" s="82" customFormat="1" ht="15" customHeight="1">
      <c r="A423" s="407"/>
      <c r="C423" s="154"/>
      <c r="D423" s="444" t="s">
        <v>8</v>
      </c>
      <c r="E423" s="448"/>
      <c r="F423" s="448"/>
      <c r="G423" s="448"/>
      <c r="H423" s="448"/>
      <c r="I423" s="29">
        <f t="shared" si="27"/>
        <v>1024965</v>
      </c>
      <c r="J423" s="29">
        <f t="shared" si="27"/>
        <v>2806</v>
      </c>
      <c r="K423" s="29">
        <f t="shared" si="27"/>
        <v>1027771</v>
      </c>
      <c r="L423" s="80"/>
    </row>
    <row r="424" spans="1:12" s="82" customFormat="1" ht="0.75" customHeight="1" hidden="1">
      <c r="A424" s="407"/>
      <c r="C424" s="154"/>
      <c r="D424" s="444" t="s">
        <v>10</v>
      </c>
      <c r="E424" s="444"/>
      <c r="F424" s="444"/>
      <c r="G424" s="444"/>
      <c r="H424" s="444"/>
      <c r="I424" s="29">
        <f t="shared" si="27"/>
        <v>0</v>
      </c>
      <c r="J424" s="29">
        <f t="shared" si="27"/>
        <v>0</v>
      </c>
      <c r="K424" s="29">
        <f t="shared" si="27"/>
        <v>0</v>
      </c>
      <c r="L424" s="80"/>
    </row>
    <row r="425" spans="1:12" s="82" customFormat="1" ht="15" customHeight="1" hidden="1">
      <c r="A425" s="407"/>
      <c r="C425" s="154"/>
      <c r="D425" s="444" t="s">
        <v>9</v>
      </c>
      <c r="E425" s="444"/>
      <c r="F425" s="444"/>
      <c r="G425" s="444"/>
      <c r="H425" s="444"/>
      <c r="I425" s="29">
        <f t="shared" si="27"/>
        <v>0</v>
      </c>
      <c r="J425" s="29">
        <f t="shared" si="27"/>
        <v>0</v>
      </c>
      <c r="K425" s="29">
        <f t="shared" si="27"/>
        <v>0</v>
      </c>
      <c r="L425" s="80"/>
    </row>
    <row r="426" spans="1:12" s="82" customFormat="1" ht="15" customHeight="1">
      <c r="A426" s="407"/>
      <c r="C426" s="154"/>
      <c r="D426" s="444" t="s">
        <v>11</v>
      </c>
      <c r="E426" s="444"/>
      <c r="F426" s="444"/>
      <c r="G426" s="444"/>
      <c r="H426" s="444"/>
      <c r="I426" s="29">
        <f t="shared" si="27"/>
        <v>317697</v>
      </c>
      <c r="J426" s="29">
        <f t="shared" si="27"/>
        <v>157636</v>
      </c>
      <c r="K426" s="29">
        <f t="shared" si="27"/>
        <v>475333</v>
      </c>
      <c r="L426" s="80"/>
    </row>
    <row r="427" spans="1:12" s="82" customFormat="1" ht="0.75" customHeight="1" hidden="1">
      <c r="A427" s="407"/>
      <c r="C427" s="151"/>
      <c r="D427" s="444" t="s">
        <v>12</v>
      </c>
      <c r="E427" s="444"/>
      <c r="F427" s="444"/>
      <c r="G427" s="444"/>
      <c r="H427" s="444"/>
      <c r="I427" s="29">
        <f t="shared" si="27"/>
        <v>0</v>
      </c>
      <c r="J427" s="29">
        <f t="shared" si="27"/>
        <v>0</v>
      </c>
      <c r="K427" s="29">
        <f t="shared" si="27"/>
        <v>0</v>
      </c>
      <c r="L427" s="80"/>
    </row>
    <row r="428" spans="1:12" s="82" customFormat="1" ht="14.25" customHeight="1">
      <c r="A428" s="407"/>
      <c r="C428" s="151"/>
      <c r="D428" s="445" t="s">
        <v>277</v>
      </c>
      <c r="E428" s="445"/>
      <c r="F428" s="445"/>
      <c r="G428" s="445"/>
      <c r="H428" s="445"/>
      <c r="I428" s="77">
        <f>I417-I421</f>
        <v>0</v>
      </c>
      <c r="J428" s="77">
        <f>J417-J421</f>
        <v>0</v>
      </c>
      <c r="K428" s="77">
        <f>K417-K421</f>
        <v>0</v>
      </c>
      <c r="L428" s="80"/>
    </row>
    <row r="429" spans="1:12" s="82" customFormat="1" ht="13.5" customHeight="1">
      <c r="A429" s="407"/>
      <c r="C429" s="151"/>
      <c r="D429" s="444" t="s">
        <v>279</v>
      </c>
      <c r="E429" s="444"/>
      <c r="F429" s="444"/>
      <c r="G429" s="444"/>
      <c r="H429" s="444"/>
      <c r="I429" s="29">
        <f>I430+I431+I432</f>
        <v>0</v>
      </c>
      <c r="J429" s="29">
        <f>J430+J431+J432</f>
        <v>0</v>
      </c>
      <c r="K429" s="29">
        <f>K430+K431+K432</f>
        <v>0</v>
      </c>
      <c r="L429" s="80"/>
    </row>
    <row r="430" spans="1:12" s="82" customFormat="1" ht="14.25" customHeight="1" hidden="1">
      <c r="A430" s="407"/>
      <c r="C430" s="151"/>
      <c r="D430" s="444" t="s">
        <v>278</v>
      </c>
      <c r="E430" s="444"/>
      <c r="F430" s="444"/>
      <c r="G430" s="444"/>
      <c r="H430" s="444"/>
      <c r="I430" s="29">
        <f aca="true" t="shared" si="28" ref="I430:K432">I448+I466+I484</f>
        <v>0</v>
      </c>
      <c r="J430" s="29">
        <f t="shared" si="28"/>
        <v>0</v>
      </c>
      <c r="K430" s="29">
        <f t="shared" si="28"/>
        <v>0</v>
      </c>
      <c r="L430" s="80"/>
    </row>
    <row r="431" spans="1:12" s="82" customFormat="1" ht="14.25" customHeight="1" hidden="1">
      <c r="A431" s="407"/>
      <c r="C431" s="151"/>
      <c r="D431" s="444" t="s">
        <v>280</v>
      </c>
      <c r="E431" s="444"/>
      <c r="F431" s="444"/>
      <c r="G431" s="444"/>
      <c r="H431" s="444"/>
      <c r="I431" s="29">
        <f t="shared" si="28"/>
        <v>0</v>
      </c>
      <c r="J431" s="29">
        <f t="shared" si="28"/>
        <v>0</v>
      </c>
      <c r="K431" s="29">
        <f t="shared" si="28"/>
        <v>0</v>
      </c>
      <c r="L431" s="80"/>
    </row>
    <row r="432" spans="1:12" s="82" customFormat="1" ht="14.25" customHeight="1" hidden="1">
      <c r="A432" s="407"/>
      <c r="C432" s="151"/>
      <c r="D432" s="444" t="s">
        <v>281</v>
      </c>
      <c r="E432" s="444"/>
      <c r="F432" s="444"/>
      <c r="G432" s="444"/>
      <c r="H432" s="444"/>
      <c r="I432" s="29">
        <f t="shared" si="28"/>
        <v>0</v>
      </c>
      <c r="J432" s="29">
        <f t="shared" si="28"/>
        <v>0</v>
      </c>
      <c r="K432" s="29">
        <f t="shared" si="28"/>
        <v>0</v>
      </c>
      <c r="L432" s="80"/>
    </row>
    <row r="433" spans="1:12" s="82" customFormat="1" ht="8.25" customHeight="1">
      <c r="A433" s="407"/>
      <c r="C433" s="151"/>
      <c r="D433" s="85"/>
      <c r="E433" s="85"/>
      <c r="F433" s="85"/>
      <c r="G433" s="85"/>
      <c r="H433" s="85"/>
      <c r="I433" s="29"/>
      <c r="J433" s="77"/>
      <c r="K433" s="77"/>
      <c r="L433" s="80"/>
    </row>
    <row r="434" spans="1:12" s="82" customFormat="1" ht="14.25" customHeight="1">
      <c r="A434" s="407"/>
      <c r="C434" s="153" t="s">
        <v>47</v>
      </c>
      <c r="D434" s="449" t="s">
        <v>89</v>
      </c>
      <c r="E434" s="449"/>
      <c r="F434" s="449"/>
      <c r="G434" s="449"/>
      <c r="H434" s="449"/>
      <c r="I434" s="129"/>
      <c r="J434" s="127"/>
      <c r="K434" s="129"/>
      <c r="L434" s="80"/>
    </row>
    <row r="435" spans="1:12" s="82" customFormat="1" ht="14.25" customHeight="1">
      <c r="A435" s="407"/>
      <c r="C435" s="149"/>
      <c r="D435" s="447" t="s">
        <v>37</v>
      </c>
      <c r="E435" s="447"/>
      <c r="F435" s="447"/>
      <c r="G435" s="447"/>
      <c r="H435" s="447"/>
      <c r="I435" s="77">
        <f>SUM(I436:I438)</f>
        <v>7560</v>
      </c>
      <c r="J435" s="77">
        <f>SUM(J436:J438)</f>
        <v>2806</v>
      </c>
      <c r="K435" s="77">
        <f>SUM(K436:K438)</f>
        <v>10366</v>
      </c>
      <c r="L435" s="80"/>
    </row>
    <row r="436" spans="1:12" s="82" customFormat="1" ht="14.25" customHeight="1">
      <c r="A436" s="407"/>
      <c r="C436" s="149"/>
      <c r="D436" s="446" t="s">
        <v>5</v>
      </c>
      <c r="E436" s="446"/>
      <c r="F436" s="446"/>
      <c r="G436" s="446"/>
      <c r="H436" s="446"/>
      <c r="I436" s="29">
        <f>7560</f>
        <v>7560</v>
      </c>
      <c r="J436" s="80">
        <f>2806</f>
        <v>2806</v>
      </c>
      <c r="K436" s="29">
        <f>SUM(I436:J436)</f>
        <v>10366</v>
      </c>
      <c r="L436" s="80"/>
    </row>
    <row r="437" spans="1:12" s="82" customFormat="1" ht="14.25" customHeight="1" hidden="1">
      <c r="A437" s="407"/>
      <c r="C437" s="149"/>
      <c r="D437" s="446" t="s">
        <v>6</v>
      </c>
      <c r="E437" s="446"/>
      <c r="F437" s="446"/>
      <c r="G437" s="446"/>
      <c r="H437" s="446"/>
      <c r="I437" s="29"/>
      <c r="J437" s="80"/>
      <c r="K437" s="29">
        <f>SUM(I437:J437)</f>
        <v>0</v>
      </c>
      <c r="L437" s="80"/>
    </row>
    <row r="438" spans="1:12" s="82" customFormat="1" ht="14.25" customHeight="1" hidden="1">
      <c r="A438" s="407"/>
      <c r="C438" s="149"/>
      <c r="D438" s="446" t="s">
        <v>7</v>
      </c>
      <c r="E438" s="446"/>
      <c r="F438" s="446"/>
      <c r="G438" s="446"/>
      <c r="H438" s="446"/>
      <c r="I438" s="29"/>
      <c r="J438" s="80"/>
      <c r="K438" s="29">
        <f>SUM(I438:J438)</f>
        <v>0</v>
      </c>
      <c r="L438" s="80"/>
    </row>
    <row r="439" spans="1:12" s="82" customFormat="1" ht="13.5" customHeight="1">
      <c r="A439" s="407"/>
      <c r="C439" s="149"/>
      <c r="D439" s="447" t="s">
        <v>38</v>
      </c>
      <c r="E439" s="447"/>
      <c r="F439" s="447"/>
      <c r="G439" s="447"/>
      <c r="H439" s="447"/>
      <c r="I439" s="254">
        <f>SUM(I440:I445)</f>
        <v>7560</v>
      </c>
      <c r="J439" s="254">
        <f>SUM(J440:J445)</f>
        <v>2806</v>
      </c>
      <c r="K439" s="254">
        <f>SUM(K440:K445)</f>
        <v>10366</v>
      </c>
      <c r="L439" s="80"/>
    </row>
    <row r="440" spans="1:12" s="82" customFormat="1" ht="14.25" customHeight="1" hidden="1">
      <c r="A440" s="407"/>
      <c r="C440" s="149"/>
      <c r="D440" s="446" t="s">
        <v>289</v>
      </c>
      <c r="E440" s="446"/>
      <c r="F440" s="446"/>
      <c r="G440" s="446"/>
      <c r="H440" s="446"/>
      <c r="I440" s="29"/>
      <c r="J440" s="80"/>
      <c r="K440" s="29">
        <f aca="true" t="shared" si="29" ref="K440:K445">SUM(I440:J440)</f>
        <v>0</v>
      </c>
      <c r="L440" s="80"/>
    </row>
    <row r="441" spans="1:12" s="82" customFormat="1" ht="13.5" customHeight="1">
      <c r="A441" s="407"/>
      <c r="C441" s="149"/>
      <c r="D441" s="444" t="s">
        <v>8</v>
      </c>
      <c r="E441" s="448"/>
      <c r="F441" s="448"/>
      <c r="G441" s="448"/>
      <c r="H441" s="448"/>
      <c r="I441" s="29">
        <f>7560</f>
        <v>7560</v>
      </c>
      <c r="J441" s="80">
        <f>2806</f>
        <v>2806</v>
      </c>
      <c r="K441" s="29">
        <f t="shared" si="29"/>
        <v>10366</v>
      </c>
      <c r="L441" s="80"/>
    </row>
    <row r="442" spans="1:12" s="82" customFormat="1" ht="14.25" customHeight="1" hidden="1">
      <c r="A442" s="407"/>
      <c r="C442" s="149"/>
      <c r="D442" s="444" t="s">
        <v>10</v>
      </c>
      <c r="E442" s="444"/>
      <c r="F442" s="444"/>
      <c r="G442" s="444"/>
      <c r="H442" s="444"/>
      <c r="I442" s="29"/>
      <c r="J442" s="80"/>
      <c r="K442" s="29">
        <f t="shared" si="29"/>
        <v>0</v>
      </c>
      <c r="L442" s="80"/>
    </row>
    <row r="443" spans="1:12" s="82" customFormat="1" ht="14.25" customHeight="1" hidden="1">
      <c r="A443" s="407"/>
      <c r="C443" s="151"/>
      <c r="D443" s="444" t="s">
        <v>9</v>
      </c>
      <c r="E443" s="444"/>
      <c r="F443" s="444"/>
      <c r="G443" s="444"/>
      <c r="H443" s="444"/>
      <c r="I443" s="29"/>
      <c r="J443" s="77"/>
      <c r="K443" s="29">
        <f t="shared" si="29"/>
        <v>0</v>
      </c>
      <c r="L443" s="80"/>
    </row>
    <row r="444" spans="1:12" s="82" customFormat="1" ht="14.25" customHeight="1" hidden="1">
      <c r="A444" s="407"/>
      <c r="C444" s="149"/>
      <c r="D444" s="444" t="s">
        <v>11</v>
      </c>
      <c r="E444" s="444"/>
      <c r="F444" s="444"/>
      <c r="G444" s="444"/>
      <c r="H444" s="444"/>
      <c r="I444" s="29"/>
      <c r="J444" s="80"/>
      <c r="K444" s="29">
        <f t="shared" si="29"/>
        <v>0</v>
      </c>
      <c r="L444" s="80"/>
    </row>
    <row r="445" spans="1:12" s="82" customFormat="1" ht="14.25" customHeight="1" hidden="1">
      <c r="A445" s="407"/>
      <c r="C445" s="151"/>
      <c r="D445" s="444" t="s">
        <v>12</v>
      </c>
      <c r="E445" s="444"/>
      <c r="F445" s="444"/>
      <c r="G445" s="444"/>
      <c r="H445" s="444"/>
      <c r="I445" s="29"/>
      <c r="J445" s="77"/>
      <c r="K445" s="29">
        <f t="shared" si="29"/>
        <v>0</v>
      </c>
      <c r="L445" s="80"/>
    </row>
    <row r="446" spans="1:12" s="82" customFormat="1" ht="14.25" customHeight="1">
      <c r="A446" s="407"/>
      <c r="C446" s="151"/>
      <c r="D446" s="445" t="s">
        <v>277</v>
      </c>
      <c r="E446" s="445"/>
      <c r="F446" s="445"/>
      <c r="G446" s="445"/>
      <c r="H446" s="445"/>
      <c r="I446" s="77">
        <f>I435-I439</f>
        <v>0</v>
      </c>
      <c r="J446" s="77">
        <f>J435-J439</f>
        <v>0</v>
      </c>
      <c r="K446" s="77">
        <f>K435-K439</f>
        <v>0</v>
      </c>
      <c r="L446" s="80"/>
    </row>
    <row r="447" spans="1:12" s="82" customFormat="1" ht="13.5" customHeight="1">
      <c r="A447" s="407"/>
      <c r="C447" s="151"/>
      <c r="D447" s="444" t="s">
        <v>279</v>
      </c>
      <c r="E447" s="444"/>
      <c r="F447" s="444"/>
      <c r="G447" s="444"/>
      <c r="H447" s="444"/>
      <c r="I447" s="29">
        <f>I448+I449+I450</f>
        <v>0</v>
      </c>
      <c r="J447" s="29">
        <f>J448+J449+J450</f>
        <v>0</v>
      </c>
      <c r="K447" s="29">
        <f>K448+K449+K450</f>
        <v>0</v>
      </c>
      <c r="L447" s="80"/>
    </row>
    <row r="448" spans="1:12" s="82" customFormat="1" ht="14.25" customHeight="1" hidden="1">
      <c r="A448" s="407"/>
      <c r="C448" s="151"/>
      <c r="D448" s="444" t="s">
        <v>278</v>
      </c>
      <c r="E448" s="444"/>
      <c r="F448" s="444"/>
      <c r="G448" s="444"/>
      <c r="H448" s="444"/>
      <c r="I448" s="29"/>
      <c r="J448" s="77"/>
      <c r="K448" s="80">
        <f>SUM(I448:J448)</f>
        <v>0</v>
      </c>
      <c r="L448" s="80"/>
    </row>
    <row r="449" spans="1:12" s="82" customFormat="1" ht="14.25" customHeight="1" hidden="1">
      <c r="A449" s="407"/>
      <c r="C449" s="151"/>
      <c r="D449" s="444" t="s">
        <v>280</v>
      </c>
      <c r="E449" s="444"/>
      <c r="F449" s="444"/>
      <c r="G449" s="444"/>
      <c r="H449" s="444"/>
      <c r="I449" s="29"/>
      <c r="J449" s="77"/>
      <c r="K449" s="80">
        <f>SUM(I449:J449)</f>
        <v>0</v>
      </c>
      <c r="L449" s="80"/>
    </row>
    <row r="450" spans="1:12" s="82" customFormat="1" ht="14.25" customHeight="1" hidden="1">
      <c r="A450" s="407"/>
      <c r="C450" s="151"/>
      <c r="D450" s="444" t="s">
        <v>281</v>
      </c>
      <c r="E450" s="444"/>
      <c r="F450" s="444"/>
      <c r="G450" s="444"/>
      <c r="H450" s="444"/>
      <c r="I450" s="29"/>
      <c r="J450" s="77"/>
      <c r="K450" s="80">
        <f>SUM(I450:J450)</f>
        <v>0</v>
      </c>
      <c r="L450" s="80"/>
    </row>
    <row r="451" spans="1:12" s="82" customFormat="1" ht="9" customHeight="1">
      <c r="A451" s="407"/>
      <c r="C451" s="151"/>
      <c r="D451" s="85"/>
      <c r="E451" s="85"/>
      <c r="F451" s="85"/>
      <c r="G451" s="85"/>
      <c r="H451" s="85"/>
      <c r="I451" s="29"/>
      <c r="J451" s="77"/>
      <c r="K451" s="77"/>
      <c r="L451" s="80"/>
    </row>
    <row r="452" spans="1:12" s="82" customFormat="1" ht="14.25" customHeight="1">
      <c r="A452" s="407"/>
      <c r="C452" s="153" t="s">
        <v>90</v>
      </c>
      <c r="D452" s="449" t="s">
        <v>91</v>
      </c>
      <c r="E452" s="449"/>
      <c r="F452" s="449"/>
      <c r="G452" s="449"/>
      <c r="H452" s="449"/>
      <c r="I452" s="129"/>
      <c r="J452" s="127"/>
      <c r="K452" s="129"/>
      <c r="L452" s="80"/>
    </row>
    <row r="453" spans="1:12" s="82" customFormat="1" ht="14.25" customHeight="1">
      <c r="A453" s="407"/>
      <c r="C453" s="149"/>
      <c r="D453" s="447" t="s">
        <v>37</v>
      </c>
      <c r="E453" s="447"/>
      <c r="F453" s="447"/>
      <c r="G453" s="447"/>
      <c r="H453" s="447"/>
      <c r="I453" s="77">
        <f>SUM(I454:I456)</f>
        <v>1335102</v>
      </c>
      <c r="J453" s="77">
        <f>SUM(J454:J456)</f>
        <v>157636</v>
      </c>
      <c r="K453" s="77">
        <f>SUM(K454:K456)</f>
        <v>1492738</v>
      </c>
      <c r="L453" s="80"/>
    </row>
    <row r="454" spans="1:12" s="82" customFormat="1" ht="13.5" customHeight="1">
      <c r="A454" s="407"/>
      <c r="C454" s="149"/>
      <c r="D454" s="446" t="s">
        <v>5</v>
      </c>
      <c r="E454" s="446"/>
      <c r="F454" s="446"/>
      <c r="G454" s="446"/>
      <c r="H454" s="446"/>
      <c r="I454" s="29">
        <f>1335102</f>
        <v>1335102</v>
      </c>
      <c r="J454" s="80">
        <f>157636</f>
        <v>157636</v>
      </c>
      <c r="K454" s="29">
        <f>SUM(I454:J454)</f>
        <v>1492738</v>
      </c>
      <c r="L454" s="80"/>
    </row>
    <row r="455" spans="1:12" s="82" customFormat="1" ht="14.25" customHeight="1" hidden="1">
      <c r="A455" s="407"/>
      <c r="C455" s="149"/>
      <c r="D455" s="446" t="s">
        <v>6</v>
      </c>
      <c r="E455" s="446"/>
      <c r="F455" s="446"/>
      <c r="G455" s="446"/>
      <c r="H455" s="446"/>
      <c r="I455" s="29"/>
      <c r="J455" s="80"/>
      <c r="K455" s="29">
        <f>SUM(I455:J455)</f>
        <v>0</v>
      </c>
      <c r="L455" s="80"/>
    </row>
    <row r="456" spans="1:12" s="82" customFormat="1" ht="14.25" customHeight="1" hidden="1">
      <c r="A456" s="407"/>
      <c r="C456" s="149"/>
      <c r="D456" s="446" t="s">
        <v>7</v>
      </c>
      <c r="E456" s="446"/>
      <c r="F456" s="446"/>
      <c r="G456" s="446"/>
      <c r="H456" s="446"/>
      <c r="I456" s="29"/>
      <c r="J456" s="80"/>
      <c r="K456" s="29">
        <f>SUM(I456:J456)</f>
        <v>0</v>
      </c>
      <c r="L456" s="80"/>
    </row>
    <row r="457" spans="1:12" s="82" customFormat="1" ht="13.5" customHeight="1">
      <c r="A457" s="407"/>
      <c r="C457" s="149"/>
      <c r="D457" s="447" t="s">
        <v>38</v>
      </c>
      <c r="E457" s="447"/>
      <c r="F457" s="447"/>
      <c r="G457" s="447"/>
      <c r="H457" s="447"/>
      <c r="I457" s="254">
        <f>SUM(I458:I463)</f>
        <v>1335102</v>
      </c>
      <c r="J457" s="254">
        <f>SUM(J458:J463)</f>
        <v>157636</v>
      </c>
      <c r="K457" s="254">
        <f>SUM(K458:K463)</f>
        <v>1492738</v>
      </c>
      <c r="L457" s="80"/>
    </row>
    <row r="458" spans="1:12" s="82" customFormat="1" ht="14.25" customHeight="1" hidden="1">
      <c r="A458" s="407"/>
      <c r="C458" s="149"/>
      <c r="D458" s="446" t="s">
        <v>289</v>
      </c>
      <c r="E458" s="446"/>
      <c r="F458" s="446"/>
      <c r="G458" s="446"/>
      <c r="H458" s="446"/>
      <c r="I458" s="29"/>
      <c r="J458" s="80"/>
      <c r="K458" s="29">
        <f aca="true" t="shared" si="30" ref="K458:K463">SUM(I458:J458)</f>
        <v>0</v>
      </c>
      <c r="L458" s="80"/>
    </row>
    <row r="459" spans="1:12" s="82" customFormat="1" ht="13.5" customHeight="1">
      <c r="A459" s="407"/>
      <c r="C459" s="149"/>
      <c r="D459" s="444" t="s">
        <v>8</v>
      </c>
      <c r="E459" s="448"/>
      <c r="F459" s="448"/>
      <c r="G459" s="448"/>
      <c r="H459" s="448"/>
      <c r="I459" s="29">
        <f>1017405</f>
        <v>1017405</v>
      </c>
      <c r="J459" s="80"/>
      <c r="K459" s="29">
        <f t="shared" si="30"/>
        <v>1017405</v>
      </c>
      <c r="L459" s="80"/>
    </row>
    <row r="460" spans="1:12" s="82" customFormat="1" ht="14.25" customHeight="1" hidden="1">
      <c r="A460" s="407"/>
      <c r="C460" s="149"/>
      <c r="D460" s="444" t="s">
        <v>10</v>
      </c>
      <c r="E460" s="444"/>
      <c r="F460" s="444"/>
      <c r="G460" s="444"/>
      <c r="H460" s="444"/>
      <c r="I460" s="29"/>
      <c r="J460" s="80"/>
      <c r="K460" s="29">
        <f t="shared" si="30"/>
        <v>0</v>
      </c>
      <c r="L460" s="80"/>
    </row>
    <row r="461" spans="1:12" s="82" customFormat="1" ht="14.25" customHeight="1" hidden="1">
      <c r="A461" s="407"/>
      <c r="C461" s="151"/>
      <c r="D461" s="444" t="s">
        <v>9</v>
      </c>
      <c r="E461" s="444"/>
      <c r="F461" s="444"/>
      <c r="G461" s="444"/>
      <c r="H461" s="444"/>
      <c r="I461" s="29"/>
      <c r="J461" s="77"/>
      <c r="K461" s="29">
        <f t="shared" si="30"/>
        <v>0</v>
      </c>
      <c r="L461" s="80"/>
    </row>
    <row r="462" spans="1:12" s="82" customFormat="1" ht="14.25" customHeight="1">
      <c r="A462" s="407"/>
      <c r="C462" s="149"/>
      <c r="D462" s="444" t="s">
        <v>11</v>
      </c>
      <c r="E462" s="444"/>
      <c r="F462" s="444"/>
      <c r="G462" s="444"/>
      <c r="H462" s="444"/>
      <c r="I462" s="29">
        <f>317697</f>
        <v>317697</v>
      </c>
      <c r="J462" s="80">
        <f>157636</f>
        <v>157636</v>
      </c>
      <c r="K462" s="29">
        <f t="shared" si="30"/>
        <v>475333</v>
      </c>
      <c r="L462" s="80"/>
    </row>
    <row r="463" spans="1:12" s="82" customFormat="1" ht="14.25" customHeight="1" hidden="1">
      <c r="A463" s="407"/>
      <c r="C463" s="151"/>
      <c r="D463" s="444" t="s">
        <v>12</v>
      </c>
      <c r="E463" s="444"/>
      <c r="F463" s="444"/>
      <c r="G463" s="444"/>
      <c r="H463" s="444"/>
      <c r="I463" s="29"/>
      <c r="J463" s="77"/>
      <c r="K463" s="29">
        <f t="shared" si="30"/>
        <v>0</v>
      </c>
      <c r="L463" s="80"/>
    </row>
    <row r="464" spans="1:12" s="82" customFormat="1" ht="14.25" customHeight="1">
      <c r="A464" s="407"/>
      <c r="C464" s="151"/>
      <c r="D464" s="445" t="s">
        <v>277</v>
      </c>
      <c r="E464" s="445"/>
      <c r="F464" s="445"/>
      <c r="G464" s="445"/>
      <c r="H464" s="445"/>
      <c r="I464" s="77">
        <f>I453-I457</f>
        <v>0</v>
      </c>
      <c r="J464" s="77">
        <f>J453-J457</f>
        <v>0</v>
      </c>
      <c r="K464" s="77">
        <f>K453-K457</f>
        <v>0</v>
      </c>
      <c r="L464" s="80"/>
    </row>
    <row r="465" spans="1:12" s="82" customFormat="1" ht="13.5" customHeight="1">
      <c r="A465" s="407"/>
      <c r="C465" s="151"/>
      <c r="D465" s="444" t="s">
        <v>279</v>
      </c>
      <c r="E465" s="444"/>
      <c r="F465" s="444"/>
      <c r="G465" s="444"/>
      <c r="H465" s="444"/>
      <c r="I465" s="29">
        <f>I466+I467+I468</f>
        <v>0</v>
      </c>
      <c r="J465" s="29">
        <f>J466+J467+J468</f>
        <v>0</v>
      </c>
      <c r="K465" s="29">
        <f>K466+K467+K468</f>
        <v>0</v>
      </c>
      <c r="L465" s="80"/>
    </row>
    <row r="466" spans="1:12" s="82" customFormat="1" ht="14.25" customHeight="1" hidden="1">
      <c r="A466" s="407"/>
      <c r="C466" s="151"/>
      <c r="D466" s="444" t="s">
        <v>278</v>
      </c>
      <c r="E466" s="444"/>
      <c r="F466" s="444"/>
      <c r="G466" s="444"/>
      <c r="H466" s="444"/>
      <c r="I466" s="29"/>
      <c r="J466" s="77"/>
      <c r="K466" s="80">
        <f>SUM(I466:J466)</f>
        <v>0</v>
      </c>
      <c r="L466" s="80"/>
    </row>
    <row r="467" spans="1:12" s="82" customFormat="1" ht="14.25" customHeight="1" hidden="1">
      <c r="A467" s="407"/>
      <c r="C467" s="151"/>
      <c r="D467" s="444" t="s">
        <v>280</v>
      </c>
      <c r="E467" s="444"/>
      <c r="F467" s="444"/>
      <c r="G467" s="444"/>
      <c r="H467" s="444"/>
      <c r="I467" s="29"/>
      <c r="J467" s="77"/>
      <c r="K467" s="80">
        <f>SUM(I467:J467)</f>
        <v>0</v>
      </c>
      <c r="L467" s="80"/>
    </row>
    <row r="468" spans="1:12" s="82" customFormat="1" ht="14.25" customHeight="1" hidden="1">
      <c r="A468" s="407"/>
      <c r="C468" s="151"/>
      <c r="D468" s="444" t="s">
        <v>281</v>
      </c>
      <c r="E468" s="444"/>
      <c r="F468" s="444"/>
      <c r="G468" s="444"/>
      <c r="H468" s="444"/>
      <c r="I468" s="29"/>
      <c r="J468" s="77"/>
      <c r="K468" s="80">
        <f>SUM(I468:J468)</f>
        <v>0</v>
      </c>
      <c r="L468" s="80"/>
    </row>
    <row r="469" spans="1:12" s="82" customFormat="1" ht="9.75" customHeight="1">
      <c r="A469" s="407"/>
      <c r="C469" s="149"/>
      <c r="D469" s="81"/>
      <c r="E469" s="81"/>
      <c r="F469" s="81"/>
      <c r="G469" s="81"/>
      <c r="H469" s="81"/>
      <c r="I469" s="29"/>
      <c r="J469" s="80"/>
      <c r="K469" s="29"/>
      <c r="L469" s="80"/>
    </row>
    <row r="470" spans="1:12" s="82" customFormat="1" ht="14.25" customHeight="1" hidden="1">
      <c r="A470" s="407"/>
      <c r="C470" s="153" t="s">
        <v>90</v>
      </c>
      <c r="D470" s="449" t="s">
        <v>230</v>
      </c>
      <c r="E470" s="449"/>
      <c r="F470" s="449"/>
      <c r="G470" s="449"/>
      <c r="H470" s="449"/>
      <c r="I470" s="129"/>
      <c r="J470" s="127"/>
      <c r="K470" s="129"/>
      <c r="L470" s="80"/>
    </row>
    <row r="471" spans="1:12" s="82" customFormat="1" ht="14.25" customHeight="1" hidden="1">
      <c r="A471" s="407"/>
      <c r="C471" s="149"/>
      <c r="D471" s="447" t="s">
        <v>37</v>
      </c>
      <c r="E471" s="447"/>
      <c r="F471" s="447"/>
      <c r="G471" s="447"/>
      <c r="H471" s="447"/>
      <c r="I471" s="77">
        <f>SUM(I472:I474)</f>
        <v>0</v>
      </c>
      <c r="J471" s="77">
        <f>SUM(J472:J474)</f>
        <v>0</v>
      </c>
      <c r="K471" s="77">
        <f>SUM(K472:K474)</f>
        <v>0</v>
      </c>
      <c r="L471" s="80"/>
    </row>
    <row r="472" spans="1:12" s="82" customFormat="1" ht="14.25" customHeight="1" hidden="1">
      <c r="A472" s="407"/>
      <c r="C472" s="149"/>
      <c r="D472" s="446" t="s">
        <v>5</v>
      </c>
      <c r="E472" s="446"/>
      <c r="F472" s="446"/>
      <c r="G472" s="446"/>
      <c r="H472" s="446"/>
      <c r="I472" s="77"/>
      <c r="J472" s="80"/>
      <c r="K472" s="29">
        <f>SUM(I472:J472)</f>
        <v>0</v>
      </c>
      <c r="L472" s="80"/>
    </row>
    <row r="473" spans="1:12" s="82" customFormat="1" ht="14.25" customHeight="1" hidden="1">
      <c r="A473" s="407"/>
      <c r="C473" s="149"/>
      <c r="D473" s="446" t="s">
        <v>6</v>
      </c>
      <c r="E473" s="446"/>
      <c r="F473" s="446"/>
      <c r="G473" s="446"/>
      <c r="H473" s="446"/>
      <c r="I473" s="77"/>
      <c r="J473" s="80"/>
      <c r="K473" s="29">
        <f>SUM(I473:J473)</f>
        <v>0</v>
      </c>
      <c r="L473" s="80"/>
    </row>
    <row r="474" spans="1:12" s="82" customFormat="1" ht="14.25" customHeight="1" hidden="1">
      <c r="A474" s="407"/>
      <c r="C474" s="149"/>
      <c r="D474" s="446" t="s">
        <v>7</v>
      </c>
      <c r="E474" s="446"/>
      <c r="F474" s="446"/>
      <c r="G474" s="446"/>
      <c r="H474" s="446"/>
      <c r="I474" s="29"/>
      <c r="J474" s="80"/>
      <c r="K474" s="29">
        <f>SUM(I474:J474)</f>
        <v>0</v>
      </c>
      <c r="L474" s="80"/>
    </row>
    <row r="475" spans="1:12" s="82" customFormat="1" ht="14.25" customHeight="1" hidden="1">
      <c r="A475" s="407"/>
      <c r="C475" s="149"/>
      <c r="D475" s="447" t="s">
        <v>38</v>
      </c>
      <c r="E475" s="447"/>
      <c r="F475" s="447"/>
      <c r="G475" s="447"/>
      <c r="H475" s="447"/>
      <c r="I475" s="254">
        <f>SUM(I476:I481)</f>
        <v>0</v>
      </c>
      <c r="J475" s="254">
        <f>SUM(J476:J481)</f>
        <v>0</v>
      </c>
      <c r="K475" s="254">
        <f>SUM(K476:K481)</f>
        <v>0</v>
      </c>
      <c r="L475" s="80"/>
    </row>
    <row r="476" spans="1:12" s="82" customFormat="1" ht="14.25" customHeight="1" hidden="1">
      <c r="A476" s="407"/>
      <c r="C476" s="149"/>
      <c r="D476" s="446" t="s">
        <v>289</v>
      </c>
      <c r="E476" s="446"/>
      <c r="F476" s="446"/>
      <c r="G476" s="446"/>
      <c r="H476" s="446"/>
      <c r="I476" s="29"/>
      <c r="J476" s="80"/>
      <c r="K476" s="29">
        <f aca="true" t="shared" si="31" ref="K476:K481">SUM(I476:J476)</f>
        <v>0</v>
      </c>
      <c r="L476" s="80"/>
    </row>
    <row r="477" spans="1:12" s="82" customFormat="1" ht="14.25" customHeight="1" hidden="1">
      <c r="A477" s="407"/>
      <c r="C477" s="149"/>
      <c r="D477" s="444" t="s">
        <v>8</v>
      </c>
      <c r="E477" s="444"/>
      <c r="F477" s="444"/>
      <c r="G477" s="444"/>
      <c r="H477" s="444"/>
      <c r="I477" s="29"/>
      <c r="J477" s="80"/>
      <c r="K477" s="29">
        <f t="shared" si="31"/>
        <v>0</v>
      </c>
      <c r="L477" s="80"/>
    </row>
    <row r="478" spans="1:12" s="82" customFormat="1" ht="14.25" customHeight="1" hidden="1">
      <c r="A478" s="407"/>
      <c r="C478" s="149"/>
      <c r="D478" s="444" t="s">
        <v>10</v>
      </c>
      <c r="E478" s="444"/>
      <c r="F478" s="444"/>
      <c r="G478" s="444"/>
      <c r="H478" s="444"/>
      <c r="I478" s="29"/>
      <c r="J478" s="80"/>
      <c r="K478" s="29">
        <f t="shared" si="31"/>
        <v>0</v>
      </c>
      <c r="L478" s="80"/>
    </row>
    <row r="479" spans="1:12" s="82" customFormat="1" ht="14.25" customHeight="1" hidden="1">
      <c r="A479" s="407"/>
      <c r="C479" s="151"/>
      <c r="D479" s="444" t="s">
        <v>9</v>
      </c>
      <c r="E479" s="444"/>
      <c r="F479" s="444"/>
      <c r="G479" s="444"/>
      <c r="H479" s="444"/>
      <c r="I479" s="29"/>
      <c r="J479" s="77"/>
      <c r="K479" s="29">
        <f t="shared" si="31"/>
        <v>0</v>
      </c>
      <c r="L479" s="80"/>
    </row>
    <row r="480" spans="1:12" s="82" customFormat="1" ht="14.25" customHeight="1" hidden="1">
      <c r="A480" s="407"/>
      <c r="C480" s="149"/>
      <c r="D480" s="444" t="s">
        <v>11</v>
      </c>
      <c r="E480" s="444"/>
      <c r="F480" s="444"/>
      <c r="G480" s="444"/>
      <c r="H480" s="444"/>
      <c r="I480" s="29"/>
      <c r="J480" s="80"/>
      <c r="K480" s="29">
        <f t="shared" si="31"/>
        <v>0</v>
      </c>
      <c r="L480" s="80"/>
    </row>
    <row r="481" spans="1:12" s="82" customFormat="1" ht="14.25" customHeight="1" hidden="1">
      <c r="A481" s="407"/>
      <c r="C481" s="151"/>
      <c r="D481" s="444" t="s">
        <v>12</v>
      </c>
      <c r="E481" s="444"/>
      <c r="F481" s="444"/>
      <c r="G481" s="444"/>
      <c r="H481" s="444"/>
      <c r="I481" s="29"/>
      <c r="J481" s="77"/>
      <c r="K481" s="29">
        <f t="shared" si="31"/>
        <v>0</v>
      </c>
      <c r="L481" s="80"/>
    </row>
    <row r="482" spans="1:12" s="82" customFormat="1" ht="14.25" customHeight="1" hidden="1">
      <c r="A482" s="407"/>
      <c r="C482" s="151"/>
      <c r="D482" s="445" t="s">
        <v>277</v>
      </c>
      <c r="E482" s="445"/>
      <c r="F482" s="445"/>
      <c r="G482" s="445"/>
      <c r="H482" s="445"/>
      <c r="I482" s="77">
        <f>I471-I475</f>
        <v>0</v>
      </c>
      <c r="J482" s="77">
        <f>J471-J475</f>
        <v>0</v>
      </c>
      <c r="K482" s="77">
        <f>K471-K475</f>
        <v>0</v>
      </c>
      <c r="L482" s="80"/>
    </row>
    <row r="483" spans="1:12" s="82" customFormat="1" ht="14.25" customHeight="1" hidden="1">
      <c r="A483" s="407"/>
      <c r="C483" s="151"/>
      <c r="D483" s="444" t="s">
        <v>279</v>
      </c>
      <c r="E483" s="444"/>
      <c r="F483" s="444"/>
      <c r="G483" s="444"/>
      <c r="H483" s="444"/>
      <c r="I483" s="29">
        <f>I484+I485+I486</f>
        <v>0</v>
      </c>
      <c r="J483" s="29">
        <f>J484+J485+J486</f>
        <v>0</v>
      </c>
      <c r="K483" s="29">
        <f>K484+K485+K486</f>
        <v>0</v>
      </c>
      <c r="L483" s="80"/>
    </row>
    <row r="484" spans="1:12" s="82" customFormat="1" ht="14.25" customHeight="1" hidden="1">
      <c r="A484" s="407"/>
      <c r="C484" s="151"/>
      <c r="D484" s="444" t="s">
        <v>278</v>
      </c>
      <c r="E484" s="444"/>
      <c r="F484" s="444"/>
      <c r="G484" s="444"/>
      <c r="H484" s="444"/>
      <c r="I484" s="29"/>
      <c r="J484" s="77"/>
      <c r="K484" s="80">
        <f>SUM(I484:J484)</f>
        <v>0</v>
      </c>
      <c r="L484" s="80"/>
    </row>
    <row r="485" spans="1:12" s="82" customFormat="1" ht="15.75" customHeight="1" hidden="1">
      <c r="A485" s="407"/>
      <c r="C485" s="151"/>
      <c r="D485" s="444" t="s">
        <v>280</v>
      </c>
      <c r="E485" s="444"/>
      <c r="F485" s="444"/>
      <c r="G485" s="444"/>
      <c r="H485" s="444"/>
      <c r="I485" s="29"/>
      <c r="J485" s="77"/>
      <c r="K485" s="80">
        <f>SUM(I485:J485)</f>
        <v>0</v>
      </c>
      <c r="L485" s="80"/>
    </row>
    <row r="486" spans="1:12" s="82" customFormat="1" ht="14.25" customHeight="1" hidden="1">
      <c r="A486" s="407"/>
      <c r="C486" s="151"/>
      <c r="D486" s="444" t="s">
        <v>281</v>
      </c>
      <c r="E486" s="444"/>
      <c r="F486" s="444"/>
      <c r="G486" s="444"/>
      <c r="H486" s="444"/>
      <c r="I486" s="29"/>
      <c r="J486" s="77"/>
      <c r="K486" s="80">
        <f>SUM(I486:J486)</f>
        <v>0</v>
      </c>
      <c r="L486" s="80"/>
    </row>
    <row r="487" spans="1:12" s="82" customFormat="1" ht="14.25" customHeight="1" hidden="1">
      <c r="A487" s="407"/>
      <c r="C487" s="151"/>
      <c r="D487" s="85"/>
      <c r="E487" s="85"/>
      <c r="F487" s="85"/>
      <c r="G487" s="85"/>
      <c r="H487" s="85"/>
      <c r="I487" s="29"/>
      <c r="J487" s="77"/>
      <c r="K487" s="29"/>
      <c r="L487" s="80"/>
    </row>
    <row r="488" spans="1:12" s="82" customFormat="1" ht="5.25" customHeight="1" hidden="1">
      <c r="A488" s="407"/>
      <c r="C488" s="151"/>
      <c r="D488" s="85"/>
      <c r="E488" s="85"/>
      <c r="F488" s="85"/>
      <c r="G488" s="85"/>
      <c r="H488" s="85"/>
      <c r="I488" s="29"/>
      <c r="J488" s="77"/>
      <c r="K488" s="77"/>
      <c r="L488" s="80"/>
    </row>
    <row r="489" spans="1:12" s="95" customFormat="1" ht="13.5" customHeight="1">
      <c r="A489" s="407"/>
      <c r="C489" s="142" t="s">
        <v>90</v>
      </c>
      <c r="D489" s="450" t="s">
        <v>541</v>
      </c>
      <c r="E489" s="450"/>
      <c r="F489" s="450"/>
      <c r="G489" s="450"/>
      <c r="H489" s="450"/>
      <c r="I489" s="129"/>
      <c r="J489" s="17"/>
      <c r="K489" s="17"/>
      <c r="L489" s="127"/>
    </row>
    <row r="490" spans="1:12" s="82" customFormat="1" ht="12.75" customHeight="1">
      <c r="A490" s="407"/>
      <c r="C490" s="149"/>
      <c r="D490" s="447" t="s">
        <v>37</v>
      </c>
      <c r="E490" s="447"/>
      <c r="F490" s="447"/>
      <c r="G490" s="447"/>
      <c r="H490" s="447"/>
      <c r="I490" s="77">
        <f>I491+I492+I493</f>
        <v>4617008</v>
      </c>
      <c r="J490" s="77">
        <f>J491+J492+J493</f>
        <v>0</v>
      </c>
      <c r="K490" s="77">
        <f>K491+K492+K493</f>
        <v>4617008</v>
      </c>
      <c r="L490" s="80"/>
    </row>
    <row r="491" spans="1:12" s="82" customFormat="1" ht="13.5" customHeight="1" hidden="1">
      <c r="A491" s="407"/>
      <c r="C491" s="149"/>
      <c r="D491" s="446" t="s">
        <v>5</v>
      </c>
      <c r="E491" s="446"/>
      <c r="F491" s="446"/>
      <c r="G491" s="446"/>
      <c r="H491" s="446"/>
      <c r="I491" s="29"/>
      <c r="J491" s="29"/>
      <c r="K491" s="29">
        <f>SUM(I491:J491)</f>
        <v>0</v>
      </c>
      <c r="L491" s="80"/>
    </row>
    <row r="492" spans="1:12" s="82" customFormat="1" ht="13.5" customHeight="1" hidden="1">
      <c r="A492" s="407"/>
      <c r="C492" s="149"/>
      <c r="D492" s="446" t="s">
        <v>6</v>
      </c>
      <c r="E492" s="446"/>
      <c r="F492" s="446"/>
      <c r="G492" s="446"/>
      <c r="H492" s="446"/>
      <c r="I492" s="29"/>
      <c r="J492" s="29"/>
      <c r="K492" s="29">
        <f>SUM(I492:J492)</f>
        <v>0</v>
      </c>
      <c r="L492" s="80"/>
    </row>
    <row r="493" spans="1:12" s="82" customFormat="1" ht="13.5" customHeight="1">
      <c r="A493" s="407"/>
      <c r="C493" s="149"/>
      <c r="D493" s="446" t="s">
        <v>7</v>
      </c>
      <c r="E493" s="446"/>
      <c r="F493" s="446"/>
      <c r="G493" s="446"/>
      <c r="H493" s="446"/>
      <c r="I493" s="29">
        <f>2887841+206515+3900814+233633+276046-2887841</f>
        <v>4617008</v>
      </c>
      <c r="J493" s="29"/>
      <c r="K493" s="29">
        <f>SUM(I493:J493)</f>
        <v>4617008</v>
      </c>
      <c r="L493" s="80"/>
    </row>
    <row r="494" spans="1:12" s="82" customFormat="1" ht="12.75" customHeight="1">
      <c r="A494" s="407"/>
      <c r="C494" s="149"/>
      <c r="D494" s="447" t="s">
        <v>38</v>
      </c>
      <c r="E494" s="447"/>
      <c r="F494" s="447"/>
      <c r="G494" s="447"/>
      <c r="H494" s="447"/>
      <c r="I494" s="253">
        <f>I495+I496+I497+I498+I499+I500</f>
        <v>13946091</v>
      </c>
      <c r="J494" s="253">
        <f>J495+J496+J497+J498+J499+J500</f>
        <v>0</v>
      </c>
      <c r="K494" s="253">
        <f>K495+K496+K497+K498+K499+K500</f>
        <v>13946091</v>
      </c>
      <c r="L494" s="80"/>
    </row>
    <row r="495" spans="1:12" s="82" customFormat="1" ht="13.5" customHeight="1" hidden="1">
      <c r="A495" s="407"/>
      <c r="C495" s="149"/>
      <c r="D495" s="446" t="s">
        <v>289</v>
      </c>
      <c r="E495" s="446"/>
      <c r="F495" s="446"/>
      <c r="G495" s="446"/>
      <c r="H495" s="446"/>
      <c r="I495" s="29"/>
      <c r="J495" s="29"/>
      <c r="K495" s="29">
        <f aca="true" t="shared" si="32" ref="K495:K500">SUM(I495:J495)</f>
        <v>0</v>
      </c>
      <c r="L495" s="80"/>
    </row>
    <row r="496" spans="1:12" s="82" customFormat="1" ht="13.5" customHeight="1" hidden="1">
      <c r="A496" s="407"/>
      <c r="C496" s="149"/>
      <c r="D496" s="444" t="s">
        <v>8</v>
      </c>
      <c r="E496" s="444"/>
      <c r="F496" s="444"/>
      <c r="G496" s="444"/>
      <c r="H496" s="444"/>
      <c r="I496" s="29"/>
      <c r="J496" s="29"/>
      <c r="K496" s="29">
        <f t="shared" si="32"/>
        <v>0</v>
      </c>
      <c r="L496" s="80"/>
    </row>
    <row r="497" spans="1:12" s="82" customFormat="1" ht="13.5" customHeight="1" hidden="1">
      <c r="A497" s="407"/>
      <c r="C497" s="149"/>
      <c r="D497" s="444" t="s">
        <v>10</v>
      </c>
      <c r="E497" s="444"/>
      <c r="F497" s="444"/>
      <c r="G497" s="444"/>
      <c r="H497" s="444"/>
      <c r="I497" s="29"/>
      <c r="J497" s="29"/>
      <c r="K497" s="29">
        <f t="shared" si="32"/>
        <v>0</v>
      </c>
      <c r="L497" s="80"/>
    </row>
    <row r="498" spans="1:12" s="82" customFormat="1" ht="13.5" customHeight="1" hidden="1">
      <c r="A498" s="407"/>
      <c r="C498" s="151"/>
      <c r="D498" s="444" t="s">
        <v>9</v>
      </c>
      <c r="E498" s="444"/>
      <c r="F498" s="444"/>
      <c r="G498" s="444"/>
      <c r="H498" s="444"/>
      <c r="I498" s="29"/>
      <c r="J498" s="29"/>
      <c r="K498" s="29">
        <f t="shared" si="32"/>
        <v>0</v>
      </c>
      <c r="L498" s="80"/>
    </row>
    <row r="499" spans="1:12" s="82" customFormat="1" ht="12.75" customHeight="1">
      <c r="A499" s="407"/>
      <c r="C499" s="149"/>
      <c r="D499" s="444" t="s">
        <v>11</v>
      </c>
      <c r="E499" s="444"/>
      <c r="F499" s="444"/>
      <c r="G499" s="444"/>
      <c r="H499" s="444"/>
      <c r="I499" s="29">
        <f>4038305+6454735+1719532+843242+3269872-2887841+508246</f>
        <v>13946091</v>
      </c>
      <c r="J499" s="29"/>
      <c r="K499" s="29">
        <f t="shared" si="32"/>
        <v>13946091</v>
      </c>
      <c r="L499" s="80"/>
    </row>
    <row r="500" spans="1:12" s="82" customFormat="1" ht="13.5" customHeight="1" hidden="1">
      <c r="A500" s="407"/>
      <c r="C500" s="151"/>
      <c r="D500" s="444" t="s">
        <v>12</v>
      </c>
      <c r="E500" s="444"/>
      <c r="F500" s="444"/>
      <c r="G500" s="444"/>
      <c r="H500" s="444"/>
      <c r="I500" s="29"/>
      <c r="J500" s="29"/>
      <c r="K500" s="29">
        <f t="shared" si="32"/>
        <v>0</v>
      </c>
      <c r="L500" s="80"/>
    </row>
    <row r="501" spans="1:12" s="82" customFormat="1" ht="13.5" customHeight="1">
      <c r="A501" s="407"/>
      <c r="C501" s="151"/>
      <c r="D501" s="445" t="s">
        <v>277</v>
      </c>
      <c r="E501" s="445"/>
      <c r="F501" s="445"/>
      <c r="G501" s="445"/>
      <c r="H501" s="445"/>
      <c r="I501" s="77">
        <f>I490-I494</f>
        <v>-9329083</v>
      </c>
      <c r="J501" s="77">
        <f>J490-J494</f>
        <v>0</v>
      </c>
      <c r="K501" s="77">
        <f>K490-K494</f>
        <v>-9329083</v>
      </c>
      <c r="L501" s="80"/>
    </row>
    <row r="502" spans="1:12" s="82" customFormat="1" ht="13.5" customHeight="1">
      <c r="A502" s="407"/>
      <c r="C502" s="151"/>
      <c r="D502" s="444" t="s">
        <v>279</v>
      </c>
      <c r="E502" s="444"/>
      <c r="F502" s="444"/>
      <c r="G502" s="444"/>
      <c r="H502" s="444"/>
      <c r="I502" s="29">
        <f>I503+I504+I505</f>
        <v>9329083</v>
      </c>
      <c r="J502" s="29">
        <f>J503+J504+J505</f>
        <v>0</v>
      </c>
      <c r="K502" s="29">
        <f>K503+K504+K505</f>
        <v>9329083</v>
      </c>
      <c r="L502" s="80"/>
    </row>
    <row r="503" spans="1:12" s="82" customFormat="1" ht="13.5" customHeight="1">
      <c r="A503" s="407"/>
      <c r="C503" s="151"/>
      <c r="D503" s="444" t="s">
        <v>278</v>
      </c>
      <c r="E503" s="444"/>
      <c r="F503" s="444"/>
      <c r="G503" s="444"/>
      <c r="H503" s="444"/>
      <c r="I503" s="29">
        <f>1150464+1544954+1719532+609609+2993826</f>
        <v>8018385</v>
      </c>
      <c r="J503" s="77"/>
      <c r="K503" s="80">
        <f>SUM(I503:J503)</f>
        <v>8018385</v>
      </c>
      <c r="L503" s="80"/>
    </row>
    <row r="504" spans="1:12" s="82" customFormat="1" ht="13.5" customHeight="1">
      <c r="A504" s="407"/>
      <c r="C504" s="151"/>
      <c r="D504" s="444" t="s">
        <v>280</v>
      </c>
      <c r="E504" s="444"/>
      <c r="F504" s="444"/>
      <c r="G504" s="444"/>
      <c r="H504" s="444"/>
      <c r="I504" s="29">
        <f>802452+508246</f>
        <v>1310698</v>
      </c>
      <c r="J504" s="29"/>
      <c r="K504" s="80">
        <f>SUM(I504:J504)</f>
        <v>1310698</v>
      </c>
      <c r="L504" s="80"/>
    </row>
    <row r="505" spans="1:12" s="82" customFormat="1" ht="13.5" customHeight="1" hidden="1">
      <c r="A505" s="407"/>
      <c r="C505" s="151"/>
      <c r="D505" s="444" t="s">
        <v>281</v>
      </c>
      <c r="E505" s="444"/>
      <c r="F505" s="444"/>
      <c r="G505" s="444"/>
      <c r="H505" s="444"/>
      <c r="I505" s="29"/>
      <c r="J505" s="77"/>
      <c r="K505" s="80">
        <f>SUM(I505:J505)</f>
        <v>0</v>
      </c>
      <c r="L505" s="80"/>
    </row>
    <row r="506" spans="1:12" s="82" customFormat="1" ht="9" customHeight="1">
      <c r="A506" s="407"/>
      <c r="C506" s="151"/>
      <c r="D506" s="85"/>
      <c r="E506" s="85"/>
      <c r="F506" s="85"/>
      <c r="G506" s="85"/>
      <c r="H506" s="85"/>
      <c r="I506" s="29"/>
      <c r="J506" s="29"/>
      <c r="K506" s="29"/>
      <c r="L506" s="80"/>
    </row>
    <row r="507" spans="1:12" s="82" customFormat="1" ht="0.75" customHeight="1" hidden="1">
      <c r="A507" s="407"/>
      <c r="C507" s="151"/>
      <c r="D507" s="85"/>
      <c r="E507" s="85"/>
      <c r="F507" s="85"/>
      <c r="G507" s="85"/>
      <c r="H507" s="85"/>
      <c r="I507" s="29"/>
      <c r="J507" s="77"/>
      <c r="K507" s="77"/>
      <c r="L507" s="80"/>
    </row>
    <row r="508" spans="1:13" s="103" customFormat="1" ht="13.5" customHeight="1">
      <c r="A508" s="412"/>
      <c r="C508" s="128" t="s">
        <v>237</v>
      </c>
      <c r="D508" s="428" t="s">
        <v>239</v>
      </c>
      <c r="E508" s="428"/>
      <c r="F508" s="428"/>
      <c r="G508" s="428"/>
      <c r="H508" s="428"/>
      <c r="I508" s="104"/>
      <c r="J508" s="139"/>
      <c r="K508" s="139"/>
      <c r="L508" s="258"/>
      <c r="M508" s="261"/>
    </row>
    <row r="509" spans="1:13" s="103" customFormat="1" ht="13.5" customHeight="1">
      <c r="A509" s="412"/>
      <c r="C509" s="101"/>
      <c r="D509" s="447" t="s">
        <v>37</v>
      </c>
      <c r="E509" s="447"/>
      <c r="F509" s="447"/>
      <c r="G509" s="447"/>
      <c r="H509" s="447"/>
      <c r="I509" s="77">
        <f>SUM(I510:I512)</f>
        <v>736100</v>
      </c>
      <c r="J509" s="77">
        <f>SUM(J510:J512)</f>
        <v>0</v>
      </c>
      <c r="K509" s="77">
        <f>SUM(K510:K512)</f>
        <v>736100</v>
      </c>
      <c r="L509" s="258"/>
      <c r="M509" s="261"/>
    </row>
    <row r="510" spans="1:13" s="103" customFormat="1" ht="12.75" customHeight="1">
      <c r="A510" s="412"/>
      <c r="C510" s="101"/>
      <c r="D510" s="446" t="s">
        <v>5</v>
      </c>
      <c r="E510" s="446"/>
      <c r="F510" s="446"/>
      <c r="G510" s="446"/>
      <c r="H510" s="446"/>
      <c r="I510" s="29">
        <v>736100</v>
      </c>
      <c r="J510" s="119"/>
      <c r="K510" s="119">
        <f>SUM(I510:J510)</f>
        <v>736100</v>
      </c>
      <c r="L510" s="258"/>
      <c r="M510" s="261"/>
    </row>
    <row r="511" spans="1:13" s="103" customFormat="1" ht="13.5" customHeight="1" hidden="1">
      <c r="A511" s="412"/>
      <c r="C511" s="101"/>
      <c r="D511" s="446" t="s">
        <v>6</v>
      </c>
      <c r="E511" s="446"/>
      <c r="F511" s="446"/>
      <c r="G511" s="446"/>
      <c r="H511" s="446"/>
      <c r="I511" s="29"/>
      <c r="J511" s="118"/>
      <c r="K511" s="119">
        <f>SUM(I511:J511)</f>
        <v>0</v>
      </c>
      <c r="L511" s="258"/>
      <c r="M511" s="261"/>
    </row>
    <row r="512" spans="1:13" s="103" customFormat="1" ht="13.5" customHeight="1" hidden="1">
      <c r="A512" s="412"/>
      <c r="C512" s="101"/>
      <c r="D512" s="446" t="s">
        <v>7</v>
      </c>
      <c r="E512" s="446"/>
      <c r="F512" s="446"/>
      <c r="G512" s="446"/>
      <c r="H512" s="446"/>
      <c r="I512" s="29"/>
      <c r="J512" s="118"/>
      <c r="K512" s="119">
        <f>SUM(I512:J512)</f>
        <v>0</v>
      </c>
      <c r="L512" s="258"/>
      <c r="M512" s="261"/>
    </row>
    <row r="513" spans="1:13" s="103" customFormat="1" ht="13.5" customHeight="1">
      <c r="A513" s="412"/>
      <c r="C513" s="101"/>
      <c r="D513" s="447" t="s">
        <v>38</v>
      </c>
      <c r="E513" s="447"/>
      <c r="F513" s="447"/>
      <c r="G513" s="447"/>
      <c r="H513" s="447"/>
      <c r="I513" s="253">
        <f>SUM(I514:I519)</f>
        <v>736100</v>
      </c>
      <c r="J513" s="253">
        <f>SUM(J514:J519)</f>
        <v>0</v>
      </c>
      <c r="K513" s="253">
        <f>SUM(K514:K519)</f>
        <v>736100</v>
      </c>
      <c r="L513" s="258"/>
      <c r="M513" s="261"/>
    </row>
    <row r="514" spans="1:13" s="103" customFormat="1" ht="0.75" customHeight="1" hidden="1">
      <c r="A514" s="412"/>
      <c r="C514" s="101"/>
      <c r="D514" s="446" t="s">
        <v>289</v>
      </c>
      <c r="E514" s="446"/>
      <c r="F514" s="446"/>
      <c r="G514" s="446"/>
      <c r="H514" s="446"/>
      <c r="I514" s="29"/>
      <c r="J514" s="119"/>
      <c r="K514" s="119">
        <f aca="true" t="shared" si="33" ref="K514:K519">SUM(I514:J514)</f>
        <v>0</v>
      </c>
      <c r="L514" s="258"/>
      <c r="M514" s="261"/>
    </row>
    <row r="515" spans="1:13" s="79" customFormat="1" ht="13.5" customHeight="1" hidden="1">
      <c r="A515" s="407"/>
      <c r="C515" s="151"/>
      <c r="D515" s="444" t="s">
        <v>8</v>
      </c>
      <c r="E515" s="448"/>
      <c r="F515" s="448"/>
      <c r="G515" s="448"/>
      <c r="H515" s="448"/>
      <c r="I515" s="29"/>
      <c r="J515" s="29"/>
      <c r="K515" s="119">
        <f t="shared" si="33"/>
        <v>0</v>
      </c>
      <c r="L515" s="80"/>
      <c r="M515" s="82"/>
    </row>
    <row r="516" spans="1:12" s="82" customFormat="1" ht="13.5" customHeight="1">
      <c r="A516" s="407"/>
      <c r="C516" s="149"/>
      <c r="D516" s="444" t="s">
        <v>10</v>
      </c>
      <c r="E516" s="444"/>
      <c r="F516" s="444"/>
      <c r="G516" s="444"/>
      <c r="H516" s="444"/>
      <c r="I516" s="29">
        <v>736100</v>
      </c>
      <c r="J516" s="80"/>
      <c r="K516" s="119">
        <f t="shared" si="33"/>
        <v>736100</v>
      </c>
      <c r="L516" s="80"/>
    </row>
    <row r="517" spans="1:13" s="79" customFormat="1" ht="13.5" customHeight="1" hidden="1">
      <c r="A517" s="407"/>
      <c r="C517" s="151"/>
      <c r="D517" s="444" t="s">
        <v>9</v>
      </c>
      <c r="E517" s="444"/>
      <c r="F517" s="444"/>
      <c r="G517" s="444"/>
      <c r="H517" s="444"/>
      <c r="I517" s="29"/>
      <c r="J517" s="77"/>
      <c r="K517" s="119">
        <f t="shared" si="33"/>
        <v>0</v>
      </c>
      <c r="L517" s="80"/>
      <c r="M517" s="82"/>
    </row>
    <row r="518" spans="1:12" s="82" customFormat="1" ht="13.5" customHeight="1" hidden="1">
      <c r="A518" s="407"/>
      <c r="C518" s="149"/>
      <c r="D518" s="444" t="s">
        <v>11</v>
      </c>
      <c r="E518" s="444"/>
      <c r="F518" s="444"/>
      <c r="G518" s="444"/>
      <c r="H518" s="444"/>
      <c r="I518" s="29"/>
      <c r="J518" s="80"/>
      <c r="K518" s="119">
        <f t="shared" si="33"/>
        <v>0</v>
      </c>
      <c r="L518" s="80"/>
    </row>
    <row r="519" spans="1:12" s="82" customFormat="1" ht="13.5" customHeight="1" hidden="1">
      <c r="A519" s="407"/>
      <c r="C519" s="149"/>
      <c r="D519" s="444" t="s">
        <v>12</v>
      </c>
      <c r="E519" s="444"/>
      <c r="F519" s="444"/>
      <c r="G519" s="444"/>
      <c r="H519" s="444"/>
      <c r="I519" s="29"/>
      <c r="J519" s="80"/>
      <c r="K519" s="119">
        <f t="shared" si="33"/>
        <v>0</v>
      </c>
      <c r="L519" s="80"/>
    </row>
    <row r="520" spans="1:12" s="82" customFormat="1" ht="13.5" customHeight="1">
      <c r="A520" s="407"/>
      <c r="C520" s="149"/>
      <c r="D520" s="445" t="s">
        <v>277</v>
      </c>
      <c r="E520" s="445"/>
      <c r="F520" s="445"/>
      <c r="G520" s="445"/>
      <c r="H520" s="445"/>
      <c r="I520" s="77">
        <f>I509-I513</f>
        <v>0</v>
      </c>
      <c r="J520" s="77">
        <f>J509-J513</f>
        <v>0</v>
      </c>
      <c r="K520" s="77">
        <f>K509-K513</f>
        <v>0</v>
      </c>
      <c r="L520" s="80"/>
    </row>
    <row r="521" spans="1:12" s="82" customFormat="1" ht="12.75" customHeight="1">
      <c r="A521" s="407"/>
      <c r="C521" s="149"/>
      <c r="D521" s="444" t="s">
        <v>279</v>
      </c>
      <c r="E521" s="444"/>
      <c r="F521" s="444"/>
      <c r="G521" s="444"/>
      <c r="H521" s="444"/>
      <c r="I521" s="29">
        <f>I522+I523+I524</f>
        <v>0</v>
      </c>
      <c r="J521" s="29">
        <f>J522+J523+J524</f>
        <v>0</v>
      </c>
      <c r="K521" s="29">
        <f>K522+K523+K524</f>
        <v>0</v>
      </c>
      <c r="L521" s="80"/>
    </row>
    <row r="522" spans="1:12" s="82" customFormat="1" ht="13.5" customHeight="1" hidden="1">
      <c r="A522" s="407"/>
      <c r="C522" s="149"/>
      <c r="D522" s="444" t="s">
        <v>278</v>
      </c>
      <c r="E522" s="444"/>
      <c r="F522" s="444"/>
      <c r="G522" s="444"/>
      <c r="H522" s="444"/>
      <c r="I522" s="29"/>
      <c r="J522" s="77"/>
      <c r="K522" s="80">
        <f>SUM(I522:J522)</f>
        <v>0</v>
      </c>
      <c r="L522" s="80"/>
    </row>
    <row r="523" spans="1:12" s="82" customFormat="1" ht="13.5" customHeight="1" hidden="1">
      <c r="A523" s="407"/>
      <c r="C523" s="149"/>
      <c r="D523" s="444" t="s">
        <v>280</v>
      </c>
      <c r="E523" s="444"/>
      <c r="F523" s="444"/>
      <c r="G523" s="444"/>
      <c r="H523" s="444"/>
      <c r="I523" s="29"/>
      <c r="J523" s="77"/>
      <c r="K523" s="80">
        <f>SUM(I523:J523)</f>
        <v>0</v>
      </c>
      <c r="L523" s="80"/>
    </row>
    <row r="524" spans="1:12" s="82" customFormat="1" ht="13.5" customHeight="1" hidden="1">
      <c r="A524" s="407"/>
      <c r="C524" s="149"/>
      <c r="D524" s="444" t="s">
        <v>281</v>
      </c>
      <c r="E524" s="444"/>
      <c r="F524" s="444"/>
      <c r="G524" s="444"/>
      <c r="H524" s="444"/>
      <c r="I524" s="29"/>
      <c r="J524" s="77"/>
      <c r="K524" s="80">
        <f>SUM(I524:J524)</f>
        <v>0</v>
      </c>
      <c r="L524" s="80"/>
    </row>
    <row r="525" spans="1:12" s="82" customFormat="1" ht="8.25" customHeight="1" hidden="1">
      <c r="A525" s="407"/>
      <c r="C525" s="149"/>
      <c r="D525" s="85"/>
      <c r="E525" s="85"/>
      <c r="F525" s="85"/>
      <c r="G525" s="85"/>
      <c r="H525" s="85"/>
      <c r="I525" s="29"/>
      <c r="J525" s="77"/>
      <c r="K525" s="80"/>
      <c r="L525" s="80"/>
    </row>
    <row r="526" spans="1:12" s="82" customFormat="1" ht="13.5" customHeight="1" hidden="1">
      <c r="A526" s="407"/>
      <c r="C526" s="149"/>
      <c r="D526" s="85"/>
      <c r="E526" s="85"/>
      <c r="F526" s="85"/>
      <c r="G526" s="85"/>
      <c r="H526" s="85"/>
      <c r="I526" s="29"/>
      <c r="J526" s="80"/>
      <c r="K526" s="80"/>
      <c r="L526" s="80"/>
    </row>
    <row r="527" spans="1:12" s="95" customFormat="1" ht="13.5" customHeight="1" hidden="1">
      <c r="A527" s="407"/>
      <c r="C527" s="155" t="s">
        <v>90</v>
      </c>
      <c r="D527" s="428" t="s">
        <v>2</v>
      </c>
      <c r="E527" s="428"/>
      <c r="F527" s="428"/>
      <c r="G527" s="428"/>
      <c r="H527" s="428"/>
      <c r="I527" s="129"/>
      <c r="J527" s="127"/>
      <c r="K527" s="129"/>
      <c r="L527" s="127"/>
    </row>
    <row r="528" spans="1:12" s="82" customFormat="1" ht="13.5" customHeight="1" hidden="1">
      <c r="A528" s="407"/>
      <c r="C528" s="156"/>
      <c r="D528" s="447" t="s">
        <v>37</v>
      </c>
      <c r="E528" s="447"/>
      <c r="F528" s="447"/>
      <c r="G528" s="447"/>
      <c r="H528" s="447"/>
      <c r="I528" s="77">
        <f>SUM(I529:I531)</f>
        <v>0</v>
      </c>
      <c r="J528" s="77">
        <f>SUM(J529:J531)</f>
        <v>0</v>
      </c>
      <c r="K528" s="77">
        <f>SUM(K529:K531)</f>
        <v>0</v>
      </c>
      <c r="L528" s="80"/>
    </row>
    <row r="529" spans="1:12" s="82" customFormat="1" ht="13.5" customHeight="1" hidden="1">
      <c r="A529" s="407"/>
      <c r="C529" s="156"/>
      <c r="D529" s="446" t="s">
        <v>5</v>
      </c>
      <c r="E529" s="446"/>
      <c r="F529" s="446"/>
      <c r="G529" s="446"/>
      <c r="H529" s="446"/>
      <c r="I529" s="77"/>
      <c r="J529" s="80"/>
      <c r="K529" s="29">
        <f>SUM(I529:J529)</f>
        <v>0</v>
      </c>
      <c r="L529" s="80"/>
    </row>
    <row r="530" spans="1:12" s="82" customFormat="1" ht="13.5" customHeight="1" hidden="1">
      <c r="A530" s="407"/>
      <c r="C530" s="156"/>
      <c r="D530" s="446" t="s">
        <v>6</v>
      </c>
      <c r="E530" s="446"/>
      <c r="F530" s="446"/>
      <c r="G530" s="446"/>
      <c r="H530" s="446"/>
      <c r="I530" s="77"/>
      <c r="J530" s="80"/>
      <c r="K530" s="29">
        <f>SUM(I530:J530)</f>
        <v>0</v>
      </c>
      <c r="L530" s="80"/>
    </row>
    <row r="531" spans="1:12" s="82" customFormat="1" ht="13.5" customHeight="1" hidden="1">
      <c r="A531" s="407"/>
      <c r="C531" s="156"/>
      <c r="D531" s="446" t="s">
        <v>7</v>
      </c>
      <c r="E531" s="446"/>
      <c r="F531" s="446"/>
      <c r="G531" s="446"/>
      <c r="H531" s="446"/>
      <c r="I531" s="29"/>
      <c r="J531" s="80"/>
      <c r="K531" s="29">
        <f>SUM(I531:J531)</f>
        <v>0</v>
      </c>
      <c r="L531" s="80"/>
    </row>
    <row r="532" spans="1:12" s="82" customFormat="1" ht="13.5" customHeight="1" hidden="1">
      <c r="A532" s="407"/>
      <c r="C532" s="156"/>
      <c r="D532" s="447" t="s">
        <v>38</v>
      </c>
      <c r="E532" s="447"/>
      <c r="F532" s="447"/>
      <c r="G532" s="447"/>
      <c r="H532" s="447"/>
      <c r="I532" s="253">
        <f>SUM(I533:I538)</f>
        <v>0</v>
      </c>
      <c r="J532" s="253">
        <f>SUM(J533:J538)</f>
        <v>0</v>
      </c>
      <c r="K532" s="253">
        <f>SUM(K533:K538)</f>
        <v>0</v>
      </c>
      <c r="L532" s="80"/>
    </row>
    <row r="533" spans="1:12" s="82" customFormat="1" ht="13.5" customHeight="1" hidden="1">
      <c r="A533" s="407"/>
      <c r="C533" s="156"/>
      <c r="D533" s="446" t="s">
        <v>289</v>
      </c>
      <c r="E533" s="446"/>
      <c r="F533" s="446"/>
      <c r="G533" s="446"/>
      <c r="H533" s="446"/>
      <c r="I533" s="29"/>
      <c r="J533" s="80"/>
      <c r="K533" s="29">
        <f aca="true" t="shared" si="34" ref="K533:K538">SUM(I533:J533)</f>
        <v>0</v>
      </c>
      <c r="L533" s="80"/>
    </row>
    <row r="534" spans="1:12" s="82" customFormat="1" ht="13.5" customHeight="1" hidden="1">
      <c r="A534" s="407"/>
      <c r="C534" s="156"/>
      <c r="D534" s="444" t="s">
        <v>8</v>
      </c>
      <c r="E534" s="448"/>
      <c r="F534" s="448"/>
      <c r="G534" s="448"/>
      <c r="H534" s="448"/>
      <c r="I534" s="29"/>
      <c r="J534" s="80"/>
      <c r="K534" s="29">
        <f t="shared" si="34"/>
        <v>0</v>
      </c>
      <c r="L534" s="80"/>
    </row>
    <row r="535" spans="1:12" s="82" customFormat="1" ht="13.5" customHeight="1" hidden="1">
      <c r="A535" s="407"/>
      <c r="C535" s="156"/>
      <c r="D535" s="444" t="s">
        <v>10</v>
      </c>
      <c r="E535" s="444"/>
      <c r="F535" s="444"/>
      <c r="G535" s="444"/>
      <c r="H535" s="444"/>
      <c r="I535" s="29"/>
      <c r="J535" s="80"/>
      <c r="K535" s="29">
        <f t="shared" si="34"/>
        <v>0</v>
      </c>
      <c r="L535" s="80"/>
    </row>
    <row r="536" spans="1:12" s="82" customFormat="1" ht="13.5" customHeight="1" hidden="1">
      <c r="A536" s="407"/>
      <c r="C536" s="156"/>
      <c r="D536" s="444" t="s">
        <v>9</v>
      </c>
      <c r="E536" s="444"/>
      <c r="F536" s="444"/>
      <c r="G536" s="444"/>
      <c r="H536" s="444"/>
      <c r="I536" s="29"/>
      <c r="J536" s="80"/>
      <c r="K536" s="29">
        <f t="shared" si="34"/>
        <v>0</v>
      </c>
      <c r="L536" s="80"/>
    </row>
    <row r="537" spans="1:12" s="82" customFormat="1" ht="13.5" customHeight="1" hidden="1">
      <c r="A537" s="407"/>
      <c r="C537" s="156"/>
      <c r="D537" s="444" t="s">
        <v>11</v>
      </c>
      <c r="E537" s="444"/>
      <c r="F537" s="444"/>
      <c r="G537" s="444"/>
      <c r="H537" s="444"/>
      <c r="I537" s="29"/>
      <c r="J537" s="80"/>
      <c r="K537" s="29">
        <f t="shared" si="34"/>
        <v>0</v>
      </c>
      <c r="L537" s="80"/>
    </row>
    <row r="538" spans="1:12" s="82" customFormat="1" ht="13.5" customHeight="1" hidden="1">
      <c r="A538" s="407"/>
      <c r="C538" s="151"/>
      <c r="D538" s="444" t="s">
        <v>12</v>
      </c>
      <c r="E538" s="444"/>
      <c r="F538" s="444"/>
      <c r="G538" s="444"/>
      <c r="H538" s="444"/>
      <c r="I538" s="29"/>
      <c r="J538" s="77"/>
      <c r="K538" s="29">
        <f t="shared" si="34"/>
        <v>0</v>
      </c>
      <c r="L538" s="80"/>
    </row>
    <row r="539" spans="1:12" s="82" customFormat="1" ht="13.5" customHeight="1" hidden="1">
      <c r="A539" s="407"/>
      <c r="C539" s="151"/>
      <c r="D539" s="445" t="s">
        <v>277</v>
      </c>
      <c r="E539" s="445"/>
      <c r="F539" s="445"/>
      <c r="G539" s="445"/>
      <c r="H539" s="445"/>
      <c r="I539" s="77">
        <f>I528-I532</f>
        <v>0</v>
      </c>
      <c r="J539" s="77">
        <f>J528-J532</f>
        <v>0</v>
      </c>
      <c r="K539" s="77">
        <f>K528-K532</f>
        <v>0</v>
      </c>
      <c r="L539" s="80"/>
    </row>
    <row r="540" spans="1:12" s="82" customFormat="1" ht="13.5" customHeight="1" hidden="1">
      <c r="A540" s="407"/>
      <c r="C540" s="151"/>
      <c r="D540" s="444" t="s">
        <v>279</v>
      </c>
      <c r="E540" s="444"/>
      <c r="F540" s="444"/>
      <c r="G540" s="444"/>
      <c r="H540" s="444"/>
      <c r="I540" s="29">
        <f>I541+I542+I543</f>
        <v>0</v>
      </c>
      <c r="J540" s="29">
        <f>J541+J542+J543</f>
        <v>0</v>
      </c>
      <c r="K540" s="29">
        <f>K541+K542+K543</f>
        <v>0</v>
      </c>
      <c r="L540" s="80"/>
    </row>
    <row r="541" spans="1:12" s="82" customFormat="1" ht="13.5" customHeight="1" hidden="1">
      <c r="A541" s="407"/>
      <c r="C541" s="151"/>
      <c r="D541" s="444" t="s">
        <v>278</v>
      </c>
      <c r="E541" s="444"/>
      <c r="F541" s="444"/>
      <c r="G541" s="444"/>
      <c r="H541" s="444"/>
      <c r="I541" s="29"/>
      <c r="J541" s="77"/>
      <c r="K541" s="80">
        <f>SUM(I541:J541)</f>
        <v>0</v>
      </c>
      <c r="L541" s="80"/>
    </row>
    <row r="542" spans="1:12" s="82" customFormat="1" ht="13.5" customHeight="1" hidden="1">
      <c r="A542" s="407"/>
      <c r="C542" s="151"/>
      <c r="D542" s="444" t="s">
        <v>280</v>
      </c>
      <c r="E542" s="444"/>
      <c r="F542" s="444"/>
      <c r="G542" s="444"/>
      <c r="H542" s="444"/>
      <c r="I542" s="29"/>
      <c r="J542" s="29"/>
      <c r="K542" s="80">
        <f>SUM(I542:J542)</f>
        <v>0</v>
      </c>
      <c r="L542" s="80"/>
    </row>
    <row r="543" spans="1:12" s="82" customFormat="1" ht="13.5" customHeight="1" hidden="1">
      <c r="A543" s="407"/>
      <c r="C543" s="151"/>
      <c r="D543" s="444" t="s">
        <v>281</v>
      </c>
      <c r="E543" s="444"/>
      <c r="F543" s="444"/>
      <c r="G543" s="444"/>
      <c r="H543" s="444"/>
      <c r="I543" s="29"/>
      <c r="J543" s="77"/>
      <c r="K543" s="80">
        <f>SUM(I543:J543)</f>
        <v>0</v>
      </c>
      <c r="L543" s="80"/>
    </row>
    <row r="544" spans="1:12" s="82" customFormat="1" ht="9" customHeight="1" hidden="1">
      <c r="A544" s="407"/>
      <c r="C544" s="151"/>
      <c r="D544" s="85"/>
      <c r="E544" s="85"/>
      <c r="F544" s="85"/>
      <c r="G544" s="85"/>
      <c r="H544" s="85"/>
      <c r="I544" s="29"/>
      <c r="J544" s="77"/>
      <c r="K544" s="77"/>
      <c r="L544" s="80"/>
    </row>
    <row r="545" spans="1:12" s="82" customFormat="1" ht="13.5" customHeight="1" hidden="1">
      <c r="A545" s="407"/>
      <c r="C545" s="149"/>
      <c r="D545" s="81"/>
      <c r="E545" s="81"/>
      <c r="F545" s="81"/>
      <c r="G545" s="81"/>
      <c r="H545" s="81"/>
      <c r="I545" s="29"/>
      <c r="J545" s="80"/>
      <c r="K545" s="29"/>
      <c r="L545" s="80"/>
    </row>
    <row r="546" spans="1:12" s="95" customFormat="1" ht="13.5" customHeight="1" hidden="1">
      <c r="A546" s="407"/>
      <c r="C546" s="155" t="s">
        <v>132</v>
      </c>
      <c r="D546" s="428" t="s">
        <v>250</v>
      </c>
      <c r="E546" s="428"/>
      <c r="F546" s="428"/>
      <c r="G546" s="428"/>
      <c r="H546" s="428"/>
      <c r="I546" s="129"/>
      <c r="J546" s="127"/>
      <c r="K546" s="129"/>
      <c r="L546" s="127"/>
    </row>
    <row r="547" spans="1:12" s="82" customFormat="1" ht="13.5" customHeight="1" hidden="1">
      <c r="A547" s="407"/>
      <c r="C547" s="156"/>
      <c r="D547" s="447" t="s">
        <v>37</v>
      </c>
      <c r="E547" s="447"/>
      <c r="F547" s="447"/>
      <c r="G547" s="447"/>
      <c r="H547" s="447"/>
      <c r="I547" s="77">
        <f>SUM(I548:I550)</f>
        <v>0</v>
      </c>
      <c r="J547" s="77">
        <f>SUM(J548:J550)</f>
        <v>0</v>
      </c>
      <c r="K547" s="77">
        <f>SUM(K548:K550)</f>
        <v>0</v>
      </c>
      <c r="L547" s="80"/>
    </row>
    <row r="548" spans="1:12" s="82" customFormat="1" ht="13.5" customHeight="1" hidden="1">
      <c r="A548" s="407"/>
      <c r="C548" s="156"/>
      <c r="D548" s="446" t="s">
        <v>5</v>
      </c>
      <c r="E548" s="446"/>
      <c r="F548" s="446"/>
      <c r="G548" s="446"/>
      <c r="H548" s="446"/>
      <c r="I548" s="29"/>
      <c r="J548" s="80"/>
      <c r="K548" s="29">
        <f>SUM(I548:J548)</f>
        <v>0</v>
      </c>
      <c r="L548" s="80"/>
    </row>
    <row r="549" spans="1:12" s="82" customFormat="1" ht="13.5" customHeight="1" hidden="1">
      <c r="A549" s="407"/>
      <c r="C549" s="156"/>
      <c r="D549" s="446" t="s">
        <v>6</v>
      </c>
      <c r="E549" s="446"/>
      <c r="F549" s="446"/>
      <c r="G549" s="446"/>
      <c r="H549" s="446"/>
      <c r="I549" s="29"/>
      <c r="J549" s="80"/>
      <c r="K549" s="29">
        <f>SUM(I549:J549)</f>
        <v>0</v>
      </c>
      <c r="L549" s="80"/>
    </row>
    <row r="550" spans="1:12" s="82" customFormat="1" ht="13.5" customHeight="1" hidden="1">
      <c r="A550" s="407"/>
      <c r="C550" s="156"/>
      <c r="D550" s="446" t="s">
        <v>7</v>
      </c>
      <c r="E550" s="446"/>
      <c r="F550" s="446"/>
      <c r="G550" s="446"/>
      <c r="H550" s="446"/>
      <c r="I550" s="29"/>
      <c r="J550" s="80"/>
      <c r="K550" s="29">
        <f>SUM(I550:J550)</f>
        <v>0</v>
      </c>
      <c r="L550" s="80"/>
    </row>
    <row r="551" spans="1:12" s="82" customFormat="1" ht="13.5" customHeight="1" hidden="1">
      <c r="A551" s="407"/>
      <c r="C551" s="156"/>
      <c r="D551" s="447" t="s">
        <v>38</v>
      </c>
      <c r="E551" s="447"/>
      <c r="F551" s="447"/>
      <c r="G551" s="447"/>
      <c r="H551" s="447"/>
      <c r="I551" s="253">
        <f>SUM(I552:I557)</f>
        <v>0</v>
      </c>
      <c r="J551" s="253">
        <f>SUM(J552:J557)</f>
        <v>0</v>
      </c>
      <c r="K551" s="253">
        <f>SUM(K552:K557)</f>
        <v>0</v>
      </c>
      <c r="L551" s="80"/>
    </row>
    <row r="552" spans="1:12" s="82" customFormat="1" ht="13.5" customHeight="1" hidden="1">
      <c r="A552" s="407"/>
      <c r="C552" s="156"/>
      <c r="D552" s="446" t="s">
        <v>289</v>
      </c>
      <c r="E552" s="446"/>
      <c r="F552" s="446"/>
      <c r="G552" s="446"/>
      <c r="H552" s="446"/>
      <c r="I552" s="29"/>
      <c r="J552" s="80"/>
      <c r="K552" s="29">
        <f aca="true" t="shared" si="35" ref="K552:K557">SUM(I552:J552)</f>
        <v>0</v>
      </c>
      <c r="L552" s="80"/>
    </row>
    <row r="553" spans="1:12" s="82" customFormat="1" ht="13.5" customHeight="1" hidden="1">
      <c r="A553" s="407"/>
      <c r="C553" s="156"/>
      <c r="D553" s="444" t="s">
        <v>8</v>
      </c>
      <c r="E553" s="448"/>
      <c r="F553" s="448"/>
      <c r="G553" s="448"/>
      <c r="H553" s="448"/>
      <c r="I553" s="29"/>
      <c r="J553" s="80"/>
      <c r="K553" s="29">
        <f t="shared" si="35"/>
        <v>0</v>
      </c>
      <c r="L553" s="80"/>
    </row>
    <row r="554" spans="1:12" s="82" customFormat="1" ht="13.5" customHeight="1" hidden="1">
      <c r="A554" s="407"/>
      <c r="C554" s="156"/>
      <c r="D554" s="444" t="s">
        <v>10</v>
      </c>
      <c r="E554" s="444"/>
      <c r="F554" s="444"/>
      <c r="G554" s="444"/>
      <c r="H554" s="444"/>
      <c r="I554" s="29"/>
      <c r="J554" s="80"/>
      <c r="K554" s="29">
        <f t="shared" si="35"/>
        <v>0</v>
      </c>
      <c r="L554" s="80"/>
    </row>
    <row r="555" spans="1:12" s="82" customFormat="1" ht="13.5" customHeight="1" hidden="1">
      <c r="A555" s="407"/>
      <c r="C555" s="151"/>
      <c r="D555" s="444" t="s">
        <v>9</v>
      </c>
      <c r="E555" s="444"/>
      <c r="F555" s="444"/>
      <c r="G555" s="444"/>
      <c r="H555" s="444"/>
      <c r="I555" s="29"/>
      <c r="J555" s="77"/>
      <c r="K555" s="29">
        <f t="shared" si="35"/>
        <v>0</v>
      </c>
      <c r="L555" s="80"/>
    </row>
    <row r="556" spans="1:12" s="82" customFormat="1" ht="13.5" customHeight="1" hidden="1">
      <c r="A556" s="407"/>
      <c r="C556" s="149"/>
      <c r="D556" s="444" t="s">
        <v>11</v>
      </c>
      <c r="E556" s="444"/>
      <c r="F556" s="444"/>
      <c r="G556" s="444"/>
      <c r="H556" s="444"/>
      <c r="I556" s="29"/>
      <c r="J556" s="80"/>
      <c r="K556" s="29">
        <f t="shared" si="35"/>
        <v>0</v>
      </c>
      <c r="L556" s="80"/>
    </row>
    <row r="557" spans="1:12" s="82" customFormat="1" ht="13.5" customHeight="1" hidden="1">
      <c r="A557" s="407"/>
      <c r="C557" s="151"/>
      <c r="D557" s="444" t="s">
        <v>12</v>
      </c>
      <c r="E557" s="444"/>
      <c r="F557" s="444"/>
      <c r="G557" s="444"/>
      <c r="H557" s="444"/>
      <c r="I557" s="29"/>
      <c r="J557" s="77"/>
      <c r="K557" s="29">
        <f t="shared" si="35"/>
        <v>0</v>
      </c>
      <c r="L557" s="80"/>
    </row>
    <row r="558" spans="1:12" s="82" customFormat="1" ht="13.5" customHeight="1" hidden="1">
      <c r="A558" s="407"/>
      <c r="C558" s="151"/>
      <c r="D558" s="445" t="s">
        <v>277</v>
      </c>
      <c r="E558" s="445"/>
      <c r="F558" s="445"/>
      <c r="G558" s="445"/>
      <c r="H558" s="445"/>
      <c r="I558" s="77">
        <f>I547-I551</f>
        <v>0</v>
      </c>
      <c r="J558" s="77">
        <f>J547-J551</f>
        <v>0</v>
      </c>
      <c r="K558" s="77">
        <f>K547-K551</f>
        <v>0</v>
      </c>
      <c r="L558" s="80"/>
    </row>
    <row r="559" spans="1:12" s="82" customFormat="1" ht="13.5" customHeight="1" hidden="1">
      <c r="A559" s="407"/>
      <c r="C559" s="151"/>
      <c r="D559" s="444" t="s">
        <v>279</v>
      </c>
      <c r="E559" s="444"/>
      <c r="F559" s="444"/>
      <c r="G559" s="444"/>
      <c r="H559" s="444"/>
      <c r="I559" s="29">
        <f>I560+I561+I562</f>
        <v>0</v>
      </c>
      <c r="J559" s="29">
        <f>J560+J561+J562</f>
        <v>0</v>
      </c>
      <c r="K559" s="29">
        <f>K560+K561+K562</f>
        <v>0</v>
      </c>
      <c r="L559" s="80"/>
    </row>
    <row r="560" spans="1:12" s="82" customFormat="1" ht="13.5" customHeight="1" hidden="1">
      <c r="A560" s="407"/>
      <c r="C560" s="151"/>
      <c r="D560" s="444" t="s">
        <v>278</v>
      </c>
      <c r="E560" s="444"/>
      <c r="F560" s="444"/>
      <c r="G560" s="444"/>
      <c r="H560" s="444"/>
      <c r="I560" s="29"/>
      <c r="J560" s="77"/>
      <c r="K560" s="80">
        <f>SUM(I560:J560)</f>
        <v>0</v>
      </c>
      <c r="L560" s="80"/>
    </row>
    <row r="561" spans="1:12" s="82" customFormat="1" ht="13.5" customHeight="1" hidden="1">
      <c r="A561" s="407"/>
      <c r="C561" s="151"/>
      <c r="D561" s="444" t="s">
        <v>280</v>
      </c>
      <c r="E561" s="444"/>
      <c r="F561" s="444"/>
      <c r="G561" s="444"/>
      <c r="H561" s="444"/>
      <c r="I561" s="29"/>
      <c r="J561" s="77"/>
      <c r="K561" s="80">
        <f>SUM(I561:J561)</f>
        <v>0</v>
      </c>
      <c r="L561" s="80"/>
    </row>
    <row r="562" spans="1:12" s="82" customFormat="1" ht="13.5" customHeight="1" hidden="1">
      <c r="A562" s="407"/>
      <c r="C562" s="151"/>
      <c r="D562" s="444" t="s">
        <v>281</v>
      </c>
      <c r="E562" s="444"/>
      <c r="F562" s="444"/>
      <c r="G562" s="444"/>
      <c r="H562" s="444"/>
      <c r="I562" s="29"/>
      <c r="J562" s="77"/>
      <c r="K562" s="80">
        <f>SUM(I562:J562)</f>
        <v>0</v>
      </c>
      <c r="L562" s="80"/>
    </row>
    <row r="563" spans="1:12" s="82" customFormat="1" ht="13.5" customHeight="1" hidden="1">
      <c r="A563" s="407"/>
      <c r="C563" s="151"/>
      <c r="D563" s="85"/>
      <c r="E563" s="85"/>
      <c r="F563" s="85"/>
      <c r="G563" s="85"/>
      <c r="H563" s="85"/>
      <c r="I563" s="29"/>
      <c r="J563" s="77"/>
      <c r="K563" s="29"/>
      <c r="L563" s="80"/>
    </row>
    <row r="564" spans="1:12" s="82" customFormat="1" ht="6" customHeight="1">
      <c r="A564" s="407"/>
      <c r="C564" s="149"/>
      <c r="D564" s="446"/>
      <c r="E564" s="446"/>
      <c r="F564" s="446"/>
      <c r="G564" s="446"/>
      <c r="H564" s="446"/>
      <c r="I564" s="29"/>
      <c r="J564" s="80"/>
      <c r="K564" s="29"/>
      <c r="L564" s="80"/>
    </row>
    <row r="565" spans="1:12" s="82" customFormat="1" ht="13.5" customHeight="1">
      <c r="A565" s="407"/>
      <c r="C565" s="157" t="s">
        <v>132</v>
      </c>
      <c r="D565" s="454" t="s">
        <v>293</v>
      </c>
      <c r="E565" s="454"/>
      <c r="F565" s="454"/>
      <c r="G565" s="454"/>
      <c r="H565" s="454"/>
      <c r="I565" s="129"/>
      <c r="J565" s="127"/>
      <c r="K565" s="129"/>
      <c r="L565" s="80"/>
    </row>
    <row r="566" spans="1:12" s="82" customFormat="1" ht="13.5" customHeight="1">
      <c r="A566" s="407"/>
      <c r="C566" s="158"/>
      <c r="D566" s="447" t="s">
        <v>37</v>
      </c>
      <c r="E566" s="447"/>
      <c r="F566" s="447"/>
      <c r="G566" s="447"/>
      <c r="H566" s="447"/>
      <c r="I566" s="77">
        <f>SUM(I567:I569)</f>
        <v>11160</v>
      </c>
      <c r="J566" s="77">
        <f>SUM(J567:J569)</f>
        <v>0</v>
      </c>
      <c r="K566" s="77">
        <f>SUM(K567:K569)</f>
        <v>11160</v>
      </c>
      <c r="L566" s="80"/>
    </row>
    <row r="567" spans="1:12" s="82" customFormat="1" ht="12.75" customHeight="1">
      <c r="A567" s="407"/>
      <c r="C567" s="158"/>
      <c r="D567" s="446" t="s">
        <v>5</v>
      </c>
      <c r="E567" s="446"/>
      <c r="F567" s="446"/>
      <c r="G567" s="446"/>
      <c r="H567" s="446"/>
      <c r="I567" s="29">
        <v>11160</v>
      </c>
      <c r="J567" s="80"/>
      <c r="K567" s="29">
        <f>SUM(I567:J567)</f>
        <v>11160</v>
      </c>
      <c r="L567" s="80"/>
    </row>
    <row r="568" spans="1:12" s="82" customFormat="1" ht="13.5" customHeight="1" hidden="1">
      <c r="A568" s="407"/>
      <c r="C568" s="158"/>
      <c r="D568" s="446" t="s">
        <v>6</v>
      </c>
      <c r="E568" s="446"/>
      <c r="F568" s="446"/>
      <c r="G568" s="446"/>
      <c r="H568" s="446"/>
      <c r="I568" s="29"/>
      <c r="J568" s="80"/>
      <c r="K568" s="29">
        <f>SUM(I568:J568)</f>
        <v>0</v>
      </c>
      <c r="L568" s="80"/>
    </row>
    <row r="569" spans="1:12" s="82" customFormat="1" ht="13.5" customHeight="1" hidden="1">
      <c r="A569" s="407"/>
      <c r="C569" s="158"/>
      <c r="D569" s="446" t="s">
        <v>7</v>
      </c>
      <c r="E569" s="446"/>
      <c r="F569" s="446"/>
      <c r="G569" s="446"/>
      <c r="H569" s="446"/>
      <c r="I569" s="29"/>
      <c r="J569" s="80"/>
      <c r="K569" s="29">
        <f>SUM(I569:J569)</f>
        <v>0</v>
      </c>
      <c r="L569" s="80"/>
    </row>
    <row r="570" spans="1:12" s="82" customFormat="1" ht="12.75" customHeight="1">
      <c r="A570" s="407"/>
      <c r="C570" s="158"/>
      <c r="D570" s="447" t="s">
        <v>38</v>
      </c>
      <c r="E570" s="447"/>
      <c r="F570" s="447"/>
      <c r="G570" s="447"/>
      <c r="H570" s="447"/>
      <c r="I570" s="253">
        <f>SUM(I571:I576)</f>
        <v>11160</v>
      </c>
      <c r="J570" s="253">
        <f>SUM(J571:J576)</f>
        <v>0</v>
      </c>
      <c r="K570" s="253">
        <f>SUM(K571:K576)</f>
        <v>11160</v>
      </c>
      <c r="L570" s="80"/>
    </row>
    <row r="571" spans="1:12" s="82" customFormat="1" ht="13.5" customHeight="1" hidden="1">
      <c r="A571" s="407"/>
      <c r="C571" s="158"/>
      <c r="D571" s="446" t="s">
        <v>289</v>
      </c>
      <c r="E571" s="446"/>
      <c r="F571" s="446"/>
      <c r="G571" s="446"/>
      <c r="H571" s="446"/>
      <c r="I571" s="29"/>
      <c r="J571" s="80"/>
      <c r="K571" s="29">
        <f>SUM(I571:J571)</f>
        <v>0</v>
      </c>
      <c r="L571" s="80"/>
    </row>
    <row r="572" spans="1:12" s="82" customFormat="1" ht="12.75" customHeight="1">
      <c r="A572" s="407"/>
      <c r="C572" s="149"/>
      <c r="D572" s="444" t="s">
        <v>8</v>
      </c>
      <c r="E572" s="448"/>
      <c r="F572" s="448"/>
      <c r="G572" s="448"/>
      <c r="H572" s="448"/>
      <c r="I572" s="29">
        <v>11160</v>
      </c>
      <c r="J572" s="80"/>
      <c r="K572" s="29">
        <f>SUM(I572:J572)</f>
        <v>11160</v>
      </c>
      <c r="L572" s="80"/>
    </row>
    <row r="573" spans="1:12" s="82" customFormat="1" ht="13.5" customHeight="1" hidden="1">
      <c r="A573" s="407"/>
      <c r="C573" s="149"/>
      <c r="D573" s="444" t="s">
        <v>10</v>
      </c>
      <c r="E573" s="444"/>
      <c r="F573" s="444"/>
      <c r="G573" s="444"/>
      <c r="H573" s="444"/>
      <c r="I573" s="29"/>
      <c r="J573" s="80"/>
      <c r="K573" s="29">
        <f>SUM(I573:J573)</f>
        <v>0</v>
      </c>
      <c r="L573" s="80"/>
    </row>
    <row r="574" spans="1:12" s="82" customFormat="1" ht="13.5" customHeight="1" hidden="1">
      <c r="A574" s="407"/>
      <c r="C574" s="149"/>
      <c r="D574" s="444" t="s">
        <v>9</v>
      </c>
      <c r="E574" s="444"/>
      <c r="F574" s="444"/>
      <c r="G574" s="444"/>
      <c r="H574" s="444"/>
      <c r="I574" s="29"/>
      <c r="J574" s="80"/>
      <c r="K574" s="29">
        <f>SUM(I574:J574)</f>
        <v>0</v>
      </c>
      <c r="L574" s="80"/>
    </row>
    <row r="575" spans="1:12" s="82" customFormat="1" ht="13.5" customHeight="1" hidden="1">
      <c r="A575" s="407"/>
      <c r="C575" s="151"/>
      <c r="D575" s="444" t="s">
        <v>11</v>
      </c>
      <c r="E575" s="444"/>
      <c r="F575" s="444"/>
      <c r="G575" s="444"/>
      <c r="H575" s="444"/>
      <c r="I575" s="29"/>
      <c r="J575" s="77"/>
      <c r="K575" s="29">
        <f>SUM(I575:J575)</f>
        <v>0</v>
      </c>
      <c r="L575" s="80"/>
    </row>
    <row r="576" spans="1:12" s="82" customFormat="1" ht="13.5" customHeight="1" hidden="1">
      <c r="A576" s="407"/>
      <c r="C576" s="149"/>
      <c r="D576" s="444" t="s">
        <v>12</v>
      </c>
      <c r="E576" s="444"/>
      <c r="F576" s="444"/>
      <c r="G576" s="444"/>
      <c r="H576" s="444"/>
      <c r="I576" s="29"/>
      <c r="J576" s="80"/>
      <c r="K576" s="29"/>
      <c r="L576" s="80"/>
    </row>
    <row r="577" spans="1:12" s="82" customFormat="1" ht="13.5" customHeight="1">
      <c r="A577" s="407"/>
      <c r="C577" s="149"/>
      <c r="D577" s="445" t="s">
        <v>277</v>
      </c>
      <c r="E577" s="445"/>
      <c r="F577" s="445"/>
      <c r="G577" s="445"/>
      <c r="H577" s="445"/>
      <c r="I577" s="77">
        <f>I566-I570</f>
        <v>0</v>
      </c>
      <c r="J577" s="77">
        <f>J566-J570</f>
        <v>0</v>
      </c>
      <c r="K577" s="77">
        <f>K566-K570</f>
        <v>0</v>
      </c>
      <c r="L577" s="80"/>
    </row>
    <row r="578" spans="1:12" s="82" customFormat="1" ht="12" customHeight="1">
      <c r="A578" s="407"/>
      <c r="C578" s="149"/>
      <c r="D578" s="444" t="s">
        <v>279</v>
      </c>
      <c r="E578" s="444"/>
      <c r="F578" s="444"/>
      <c r="G578" s="444"/>
      <c r="H578" s="444"/>
      <c r="I578" s="29">
        <f>I579+I580+I581</f>
        <v>0</v>
      </c>
      <c r="J578" s="29">
        <f>J579+J580+J581</f>
        <v>0</v>
      </c>
      <c r="K578" s="29">
        <f>K579+K580+K581</f>
        <v>0</v>
      </c>
      <c r="L578" s="80"/>
    </row>
    <row r="579" spans="1:12" s="82" customFormat="1" ht="13.5" customHeight="1" hidden="1">
      <c r="A579" s="407"/>
      <c r="C579" s="149"/>
      <c r="D579" s="444" t="s">
        <v>278</v>
      </c>
      <c r="E579" s="444"/>
      <c r="F579" s="444"/>
      <c r="G579" s="444"/>
      <c r="H579" s="444"/>
      <c r="I579" s="29"/>
      <c r="J579" s="77"/>
      <c r="K579" s="80">
        <f>SUM(I579:J579)</f>
        <v>0</v>
      </c>
      <c r="L579" s="80"/>
    </row>
    <row r="580" spans="1:12" s="82" customFormat="1" ht="13.5" customHeight="1" hidden="1">
      <c r="A580" s="407"/>
      <c r="C580" s="149"/>
      <c r="D580" s="444" t="s">
        <v>280</v>
      </c>
      <c r="E580" s="444"/>
      <c r="F580" s="444"/>
      <c r="G580" s="444"/>
      <c r="H580" s="444"/>
      <c r="I580" s="29"/>
      <c r="J580" s="77"/>
      <c r="K580" s="80">
        <f>SUM(I580:J580)</f>
        <v>0</v>
      </c>
      <c r="L580" s="80"/>
    </row>
    <row r="581" spans="1:12" s="82" customFormat="1" ht="13.5" customHeight="1" hidden="1">
      <c r="A581" s="407"/>
      <c r="C581" s="149"/>
      <c r="D581" s="444" t="s">
        <v>281</v>
      </c>
      <c r="E581" s="444"/>
      <c r="F581" s="444"/>
      <c r="G581" s="444"/>
      <c r="H581" s="444"/>
      <c r="I581" s="29"/>
      <c r="J581" s="77"/>
      <c r="K581" s="80">
        <f>SUM(I581:J581)</f>
        <v>0</v>
      </c>
      <c r="L581" s="80"/>
    </row>
    <row r="582" spans="1:12" s="82" customFormat="1" ht="9" customHeight="1" hidden="1">
      <c r="A582" s="407"/>
      <c r="C582" s="149"/>
      <c r="D582" s="81"/>
      <c r="E582" s="81"/>
      <c r="F582" s="81"/>
      <c r="G582" s="81"/>
      <c r="H582" s="81"/>
      <c r="I582" s="29"/>
      <c r="J582" s="80"/>
      <c r="K582" s="29"/>
      <c r="L582" s="80"/>
    </row>
    <row r="583" spans="1:12" s="82" customFormat="1" ht="13.5" customHeight="1" hidden="1">
      <c r="A583" s="407"/>
      <c r="C583" s="149"/>
      <c r="D583" s="81"/>
      <c r="E583" s="81"/>
      <c r="F583" s="81"/>
      <c r="G583" s="81"/>
      <c r="H583" s="81"/>
      <c r="I583" s="29"/>
      <c r="J583" s="80"/>
      <c r="K583" s="29"/>
      <c r="L583" s="80"/>
    </row>
    <row r="584" spans="1:12" s="95" customFormat="1" ht="13.5" customHeight="1" hidden="1">
      <c r="A584" s="407"/>
      <c r="C584" s="157" t="s">
        <v>249</v>
      </c>
      <c r="D584" s="454" t="s">
        <v>221</v>
      </c>
      <c r="E584" s="454"/>
      <c r="F584" s="454"/>
      <c r="G584" s="454"/>
      <c r="H584" s="454"/>
      <c r="I584" s="129"/>
      <c r="J584" s="127"/>
      <c r="K584" s="129"/>
      <c r="L584" s="127"/>
    </row>
    <row r="585" spans="1:12" s="95" customFormat="1" ht="13.5" customHeight="1" hidden="1">
      <c r="A585" s="407"/>
      <c r="C585" s="158"/>
      <c r="D585" s="447" t="s">
        <v>37</v>
      </c>
      <c r="E585" s="447"/>
      <c r="F585" s="447"/>
      <c r="G585" s="447"/>
      <c r="H585" s="447"/>
      <c r="I585" s="77">
        <f>SUM(I586:I588)</f>
        <v>0</v>
      </c>
      <c r="J585" s="77">
        <f>SUM(J586:J588)</f>
        <v>0</v>
      </c>
      <c r="K585" s="77">
        <f>SUM(K586:K588)</f>
        <v>0</v>
      </c>
      <c r="L585" s="127"/>
    </row>
    <row r="586" spans="1:12" s="95" customFormat="1" ht="13.5" customHeight="1" hidden="1">
      <c r="A586" s="407"/>
      <c r="C586" s="158"/>
      <c r="D586" s="446" t="s">
        <v>5</v>
      </c>
      <c r="E586" s="446"/>
      <c r="F586" s="446"/>
      <c r="G586" s="446"/>
      <c r="H586" s="446"/>
      <c r="I586" s="77"/>
      <c r="J586" s="80"/>
      <c r="K586" s="29">
        <f>SUM(I586:J586)</f>
        <v>0</v>
      </c>
      <c r="L586" s="127"/>
    </row>
    <row r="587" spans="1:12" s="95" customFormat="1" ht="13.5" customHeight="1" hidden="1">
      <c r="A587" s="407"/>
      <c r="C587" s="158"/>
      <c r="D587" s="446" t="s">
        <v>6</v>
      </c>
      <c r="E587" s="446"/>
      <c r="F587" s="446"/>
      <c r="G587" s="446"/>
      <c r="H587" s="446"/>
      <c r="I587" s="77"/>
      <c r="J587" s="80"/>
      <c r="K587" s="29">
        <f>SUM(I587:J587)</f>
        <v>0</v>
      </c>
      <c r="L587" s="127"/>
    </row>
    <row r="588" spans="1:12" s="95" customFormat="1" ht="13.5" customHeight="1" hidden="1">
      <c r="A588" s="407"/>
      <c r="C588" s="158"/>
      <c r="D588" s="446" t="s">
        <v>7</v>
      </c>
      <c r="E588" s="446"/>
      <c r="F588" s="446"/>
      <c r="G588" s="446"/>
      <c r="H588" s="446"/>
      <c r="I588" s="29"/>
      <c r="J588" s="80"/>
      <c r="K588" s="29">
        <f>SUM(I588:J588)</f>
        <v>0</v>
      </c>
      <c r="L588" s="127"/>
    </row>
    <row r="589" spans="1:12" s="95" customFormat="1" ht="13.5" customHeight="1" hidden="1">
      <c r="A589" s="407"/>
      <c r="C589" s="158"/>
      <c r="D589" s="447" t="s">
        <v>38</v>
      </c>
      <c r="E589" s="447"/>
      <c r="F589" s="447"/>
      <c r="G589" s="447"/>
      <c r="H589" s="447"/>
      <c r="I589" s="253">
        <f>SUM(I590:I595)</f>
        <v>0</v>
      </c>
      <c r="J589" s="253">
        <f>SUM(J590:J595)</f>
        <v>0</v>
      </c>
      <c r="K589" s="253">
        <f>SUM(K590:K595)</f>
        <v>0</v>
      </c>
      <c r="L589" s="127"/>
    </row>
    <row r="590" spans="1:12" s="95" customFormat="1" ht="13.5" customHeight="1" hidden="1">
      <c r="A590" s="407"/>
      <c r="C590" s="158"/>
      <c r="D590" s="446" t="s">
        <v>289</v>
      </c>
      <c r="E590" s="446"/>
      <c r="F590" s="446"/>
      <c r="G590" s="446"/>
      <c r="H590" s="446"/>
      <c r="I590" s="29"/>
      <c r="J590" s="80"/>
      <c r="K590" s="29">
        <f>SUM(I590:J590)</f>
        <v>0</v>
      </c>
      <c r="L590" s="127"/>
    </row>
    <row r="591" spans="1:12" s="82" customFormat="1" ht="13.5" customHeight="1" hidden="1">
      <c r="A591" s="407"/>
      <c r="C591" s="149"/>
      <c r="D591" s="444" t="s">
        <v>8</v>
      </c>
      <c r="E591" s="448"/>
      <c r="F591" s="448"/>
      <c r="G591" s="448"/>
      <c r="H591" s="448"/>
      <c r="I591" s="29"/>
      <c r="J591" s="80"/>
      <c r="K591" s="29">
        <f>SUM(I591:J591)</f>
        <v>0</v>
      </c>
      <c r="L591" s="80"/>
    </row>
    <row r="592" spans="1:12" s="82" customFormat="1" ht="13.5" customHeight="1" hidden="1">
      <c r="A592" s="407"/>
      <c r="C592" s="149"/>
      <c r="D592" s="444" t="s">
        <v>10</v>
      </c>
      <c r="E592" s="444"/>
      <c r="F592" s="444"/>
      <c r="G592" s="444"/>
      <c r="H592" s="444"/>
      <c r="I592" s="29"/>
      <c r="J592" s="80"/>
      <c r="K592" s="29">
        <f>SUM(I592:J592)</f>
        <v>0</v>
      </c>
      <c r="L592" s="80"/>
    </row>
    <row r="593" spans="1:12" s="82" customFormat="1" ht="13.5" customHeight="1" hidden="1">
      <c r="A593" s="407"/>
      <c r="C593" s="149"/>
      <c r="D593" s="444" t="s">
        <v>9</v>
      </c>
      <c r="E593" s="444"/>
      <c r="F593" s="444"/>
      <c r="G593" s="444"/>
      <c r="H593" s="444"/>
      <c r="I593" s="29"/>
      <c r="J593" s="80"/>
      <c r="K593" s="29">
        <f>SUM(I593:J593)</f>
        <v>0</v>
      </c>
      <c r="L593" s="80"/>
    </row>
    <row r="594" spans="1:13" s="79" customFormat="1" ht="13.5" customHeight="1" hidden="1">
      <c r="A594" s="407"/>
      <c r="C594" s="151"/>
      <c r="D594" s="444" t="s">
        <v>11</v>
      </c>
      <c r="E594" s="444"/>
      <c r="F594" s="444"/>
      <c r="G594" s="444"/>
      <c r="H594" s="444"/>
      <c r="I594" s="29"/>
      <c r="J594" s="77"/>
      <c r="K594" s="29">
        <f>SUM(I594:J594)</f>
        <v>0</v>
      </c>
      <c r="L594" s="80"/>
      <c r="M594" s="82"/>
    </row>
    <row r="595" spans="1:12" s="82" customFormat="1" ht="13.5" customHeight="1" hidden="1">
      <c r="A595" s="407"/>
      <c r="C595" s="149"/>
      <c r="D595" s="444" t="s">
        <v>12</v>
      </c>
      <c r="E595" s="444"/>
      <c r="F595" s="444"/>
      <c r="G595" s="444"/>
      <c r="H595" s="444"/>
      <c r="I595" s="29"/>
      <c r="J595" s="80"/>
      <c r="K595" s="29"/>
      <c r="L595" s="80"/>
    </row>
    <row r="596" spans="1:12" s="82" customFormat="1" ht="13.5" customHeight="1" hidden="1">
      <c r="A596" s="407"/>
      <c r="C596" s="149"/>
      <c r="D596" s="445" t="s">
        <v>277</v>
      </c>
      <c r="E596" s="445"/>
      <c r="F596" s="445"/>
      <c r="G596" s="445"/>
      <c r="H596" s="445"/>
      <c r="I596" s="77">
        <f>I585-I589</f>
        <v>0</v>
      </c>
      <c r="J596" s="77">
        <f>J585-J589</f>
        <v>0</v>
      </c>
      <c r="K596" s="77">
        <f>K585-K589</f>
        <v>0</v>
      </c>
      <c r="L596" s="80"/>
    </row>
    <row r="597" spans="1:12" s="82" customFormat="1" ht="13.5" customHeight="1" hidden="1">
      <c r="A597" s="407"/>
      <c r="C597" s="149"/>
      <c r="D597" s="444" t="s">
        <v>279</v>
      </c>
      <c r="E597" s="444"/>
      <c r="F597" s="444"/>
      <c r="G597" s="444"/>
      <c r="H597" s="444"/>
      <c r="I597" s="29">
        <f>I598+I599+I600</f>
        <v>0</v>
      </c>
      <c r="J597" s="29">
        <f>J598+J599+J600</f>
        <v>0</v>
      </c>
      <c r="K597" s="29">
        <f>K598+K599+K600</f>
        <v>0</v>
      </c>
      <c r="L597" s="80"/>
    </row>
    <row r="598" spans="1:12" s="82" customFormat="1" ht="13.5" customHeight="1" hidden="1">
      <c r="A598" s="407"/>
      <c r="C598" s="149"/>
      <c r="D598" s="444" t="s">
        <v>278</v>
      </c>
      <c r="E598" s="444"/>
      <c r="F598" s="444"/>
      <c r="G598" s="444"/>
      <c r="H598" s="444"/>
      <c r="I598" s="29"/>
      <c r="J598" s="77"/>
      <c r="K598" s="80">
        <f>SUM(I598:J598)</f>
        <v>0</v>
      </c>
      <c r="L598" s="80"/>
    </row>
    <row r="599" spans="1:12" s="82" customFormat="1" ht="13.5" customHeight="1" hidden="1">
      <c r="A599" s="407"/>
      <c r="C599" s="149"/>
      <c r="D599" s="444" t="s">
        <v>280</v>
      </c>
      <c r="E599" s="444"/>
      <c r="F599" s="444"/>
      <c r="G599" s="444"/>
      <c r="H599" s="444"/>
      <c r="I599" s="29"/>
      <c r="J599" s="77"/>
      <c r="K599" s="80">
        <f>SUM(I599:J599)</f>
        <v>0</v>
      </c>
      <c r="L599" s="80"/>
    </row>
    <row r="600" spans="1:12" s="82" customFormat="1" ht="13.5" customHeight="1" hidden="1">
      <c r="A600" s="407"/>
      <c r="C600" s="149"/>
      <c r="D600" s="444" t="s">
        <v>281</v>
      </c>
      <c r="E600" s="444"/>
      <c r="F600" s="444"/>
      <c r="G600" s="444"/>
      <c r="H600" s="444"/>
      <c r="I600" s="29"/>
      <c r="J600" s="77"/>
      <c r="K600" s="80">
        <f>SUM(I600:J600)</f>
        <v>0</v>
      </c>
      <c r="L600" s="80"/>
    </row>
    <row r="601" spans="1:12" s="82" customFormat="1" ht="13.5" customHeight="1" hidden="1">
      <c r="A601" s="407"/>
      <c r="C601" s="149"/>
      <c r="D601" s="85"/>
      <c r="E601" s="85"/>
      <c r="F601" s="85"/>
      <c r="G601" s="85"/>
      <c r="H601" s="85"/>
      <c r="I601" s="29"/>
      <c r="J601" s="80"/>
      <c r="K601" s="29"/>
      <c r="L601" s="80"/>
    </row>
    <row r="602" spans="1:12" s="82" customFormat="1" ht="3" customHeight="1">
      <c r="A602" s="407"/>
      <c r="C602" s="149"/>
      <c r="D602" s="85"/>
      <c r="E602" s="85"/>
      <c r="F602" s="85"/>
      <c r="G602" s="85"/>
      <c r="H602" s="85"/>
      <c r="I602" s="29"/>
      <c r="J602" s="80"/>
      <c r="K602" s="29"/>
      <c r="L602" s="80"/>
    </row>
    <row r="603" spans="1:13" s="6" customFormat="1" ht="13.5" customHeight="1">
      <c r="A603" s="409">
        <f>'2.pielikums'!J48-'3.pielik.'!K603</f>
        <v>0</v>
      </c>
      <c r="C603" s="150" t="s">
        <v>50</v>
      </c>
      <c r="D603" s="437" t="s">
        <v>92</v>
      </c>
      <c r="E603" s="437"/>
      <c r="F603" s="437"/>
      <c r="G603" s="437"/>
      <c r="H603" s="437"/>
      <c r="I603" s="134">
        <f>I610+I720+I739+I665</f>
        <v>2764401</v>
      </c>
      <c r="J603" s="134">
        <f>J610+J720+J739+J665</f>
        <v>115365</v>
      </c>
      <c r="K603" s="134">
        <f>K610+K720+K739+K665</f>
        <v>2879766</v>
      </c>
      <c r="L603" s="93"/>
      <c r="M603" s="91"/>
    </row>
    <row r="604" spans="1:13" s="15" customFormat="1" ht="7.5" customHeight="1">
      <c r="A604" s="407"/>
      <c r="C604" s="151"/>
      <c r="D604" s="16"/>
      <c r="E604" s="16"/>
      <c r="F604" s="16"/>
      <c r="G604" s="16"/>
      <c r="H604" s="16"/>
      <c r="I604" s="77"/>
      <c r="J604" s="78"/>
      <c r="K604" s="78"/>
      <c r="L604" s="127"/>
      <c r="M604" s="95"/>
    </row>
    <row r="605" spans="1:13" s="15" customFormat="1" ht="13.5" customHeight="1">
      <c r="A605" s="407"/>
      <c r="C605" s="142" t="s">
        <v>50</v>
      </c>
      <c r="D605" s="450" t="s">
        <v>57</v>
      </c>
      <c r="E605" s="450"/>
      <c r="F605" s="450"/>
      <c r="G605" s="450"/>
      <c r="H605" s="450"/>
      <c r="I605" s="17"/>
      <c r="J605" s="126"/>
      <c r="K605" s="126"/>
      <c r="L605" s="127"/>
      <c r="M605" s="95"/>
    </row>
    <row r="606" spans="1:13" s="15" customFormat="1" ht="13.5" customHeight="1">
      <c r="A606" s="407"/>
      <c r="C606" s="154"/>
      <c r="D606" s="447" t="s">
        <v>37</v>
      </c>
      <c r="E606" s="447"/>
      <c r="F606" s="447"/>
      <c r="G606" s="447"/>
      <c r="H606" s="447"/>
      <c r="I606" s="77">
        <f>SUM(I607:I609)</f>
        <v>729899</v>
      </c>
      <c r="J606" s="77">
        <f>SUM(J607:J609)</f>
        <v>0</v>
      </c>
      <c r="K606" s="77">
        <f>SUM(K607:K609)</f>
        <v>729899</v>
      </c>
      <c r="L606" s="127"/>
      <c r="M606" s="95"/>
    </row>
    <row r="607" spans="1:13" s="15" customFormat="1" ht="13.5" customHeight="1">
      <c r="A607" s="407"/>
      <c r="C607" s="154"/>
      <c r="D607" s="446" t="s">
        <v>5</v>
      </c>
      <c r="E607" s="446"/>
      <c r="F607" s="446"/>
      <c r="G607" s="446"/>
      <c r="H607" s="446"/>
      <c r="I607" s="29">
        <f aca="true" t="shared" si="36" ref="I607:K609">I625+I643</f>
        <v>729899</v>
      </c>
      <c r="J607" s="29">
        <f t="shared" si="36"/>
        <v>0</v>
      </c>
      <c r="K607" s="29">
        <f t="shared" si="36"/>
        <v>729899</v>
      </c>
      <c r="L607" s="127"/>
      <c r="M607" s="95"/>
    </row>
    <row r="608" spans="1:13" s="15" customFormat="1" ht="13.5" customHeight="1" hidden="1">
      <c r="A608" s="407"/>
      <c r="C608" s="154"/>
      <c r="D608" s="446" t="s">
        <v>6</v>
      </c>
      <c r="E608" s="446"/>
      <c r="F608" s="446"/>
      <c r="G608" s="446"/>
      <c r="H608" s="446"/>
      <c r="I608" s="29">
        <f t="shared" si="36"/>
        <v>0</v>
      </c>
      <c r="J608" s="29">
        <f t="shared" si="36"/>
        <v>0</v>
      </c>
      <c r="K608" s="29">
        <f t="shared" si="36"/>
        <v>0</v>
      </c>
      <c r="L608" s="127"/>
      <c r="M608" s="95"/>
    </row>
    <row r="609" spans="1:13" s="15" customFormat="1" ht="13.5" customHeight="1" hidden="1">
      <c r="A609" s="407"/>
      <c r="C609" s="154"/>
      <c r="D609" s="446" t="s">
        <v>7</v>
      </c>
      <c r="E609" s="446"/>
      <c r="F609" s="446"/>
      <c r="G609" s="446"/>
      <c r="H609" s="446"/>
      <c r="I609" s="29">
        <f t="shared" si="36"/>
        <v>0</v>
      </c>
      <c r="J609" s="29">
        <f t="shared" si="36"/>
        <v>0</v>
      </c>
      <c r="K609" s="29">
        <f t="shared" si="36"/>
        <v>0</v>
      </c>
      <c r="L609" s="127"/>
      <c r="M609" s="95"/>
    </row>
    <row r="610" spans="1:13" s="15" customFormat="1" ht="13.5" customHeight="1">
      <c r="A610" s="407"/>
      <c r="C610" s="154"/>
      <c r="D610" s="447" t="s">
        <v>38</v>
      </c>
      <c r="E610" s="447"/>
      <c r="F610" s="447"/>
      <c r="G610" s="447"/>
      <c r="H610" s="447"/>
      <c r="I610" s="253">
        <f>SUM(I611:I616)</f>
        <v>729899</v>
      </c>
      <c r="J610" s="253">
        <f>SUM(J611:J616)</f>
        <v>0</v>
      </c>
      <c r="K610" s="253">
        <f>SUM(K611:K616)</f>
        <v>729899</v>
      </c>
      <c r="L610" s="127"/>
      <c r="M610" s="95"/>
    </row>
    <row r="611" spans="1:13" s="15" customFormat="1" ht="13.5" customHeight="1" hidden="1">
      <c r="A611" s="407"/>
      <c r="C611" s="154"/>
      <c r="D611" s="446" t="s">
        <v>289</v>
      </c>
      <c r="E611" s="446"/>
      <c r="F611" s="446"/>
      <c r="G611" s="446"/>
      <c r="H611" s="446"/>
      <c r="I611" s="29">
        <f aca="true" t="shared" si="37" ref="I611:K616">I629+I647</f>
        <v>0</v>
      </c>
      <c r="J611" s="29">
        <f t="shared" si="37"/>
        <v>0</v>
      </c>
      <c r="K611" s="29">
        <f t="shared" si="37"/>
        <v>0</v>
      </c>
      <c r="L611" s="127"/>
      <c r="M611" s="95"/>
    </row>
    <row r="612" spans="1:13" s="15" customFormat="1" ht="12" customHeight="1">
      <c r="A612" s="407"/>
      <c r="C612" s="154"/>
      <c r="D612" s="444" t="s">
        <v>8</v>
      </c>
      <c r="E612" s="448"/>
      <c r="F612" s="448"/>
      <c r="G612" s="448"/>
      <c r="H612" s="448"/>
      <c r="I612" s="29">
        <f t="shared" si="37"/>
        <v>729899</v>
      </c>
      <c r="J612" s="29">
        <f t="shared" si="37"/>
        <v>0</v>
      </c>
      <c r="K612" s="29">
        <f t="shared" si="37"/>
        <v>729899</v>
      </c>
      <c r="L612" s="127"/>
      <c r="M612" s="95"/>
    </row>
    <row r="613" spans="1:13" s="15" customFormat="1" ht="13.5" customHeight="1" hidden="1">
      <c r="A613" s="407"/>
      <c r="C613" s="154"/>
      <c r="D613" s="444" t="s">
        <v>10</v>
      </c>
      <c r="E613" s="444"/>
      <c r="F613" s="444"/>
      <c r="G613" s="444"/>
      <c r="H613" s="444"/>
      <c r="I613" s="29">
        <f t="shared" si="37"/>
        <v>0</v>
      </c>
      <c r="J613" s="29">
        <f t="shared" si="37"/>
        <v>0</v>
      </c>
      <c r="K613" s="29">
        <f t="shared" si="37"/>
        <v>0</v>
      </c>
      <c r="L613" s="127"/>
      <c r="M613" s="95"/>
    </row>
    <row r="614" spans="1:13" s="79" customFormat="1" ht="13.5" customHeight="1" hidden="1">
      <c r="A614" s="407"/>
      <c r="C614" s="151"/>
      <c r="D614" s="444" t="s">
        <v>9</v>
      </c>
      <c r="E614" s="444"/>
      <c r="F614" s="444"/>
      <c r="G614" s="444"/>
      <c r="H614" s="444"/>
      <c r="I614" s="29">
        <f t="shared" si="37"/>
        <v>0</v>
      </c>
      <c r="J614" s="29">
        <f t="shared" si="37"/>
        <v>0</v>
      </c>
      <c r="K614" s="29">
        <f t="shared" si="37"/>
        <v>0</v>
      </c>
      <c r="L614" s="80"/>
      <c r="M614" s="82"/>
    </row>
    <row r="615" spans="1:12" s="82" customFormat="1" ht="13.5" customHeight="1" hidden="1">
      <c r="A615" s="407"/>
      <c r="C615" s="149"/>
      <c r="D615" s="444" t="s">
        <v>11</v>
      </c>
      <c r="E615" s="444"/>
      <c r="F615" s="444"/>
      <c r="G615" s="444"/>
      <c r="H615" s="444"/>
      <c r="I615" s="29">
        <f t="shared" si="37"/>
        <v>0</v>
      </c>
      <c r="J615" s="29">
        <f t="shared" si="37"/>
        <v>0</v>
      </c>
      <c r="K615" s="29">
        <f t="shared" si="37"/>
        <v>0</v>
      </c>
      <c r="L615" s="80"/>
    </row>
    <row r="616" spans="1:13" s="79" customFormat="1" ht="13.5" customHeight="1" hidden="1">
      <c r="A616" s="407"/>
      <c r="C616" s="151"/>
      <c r="D616" s="444" t="s">
        <v>12</v>
      </c>
      <c r="E616" s="444"/>
      <c r="F616" s="444"/>
      <c r="G616" s="444"/>
      <c r="H616" s="444"/>
      <c r="I616" s="29">
        <f t="shared" si="37"/>
        <v>0</v>
      </c>
      <c r="J616" s="29">
        <f t="shared" si="37"/>
        <v>0</v>
      </c>
      <c r="K616" s="29">
        <f t="shared" si="37"/>
        <v>0</v>
      </c>
      <c r="L616" s="80"/>
      <c r="M616" s="82"/>
    </row>
    <row r="617" spans="1:13" s="79" customFormat="1" ht="13.5" customHeight="1">
      <c r="A617" s="407"/>
      <c r="C617" s="151"/>
      <c r="D617" s="445" t="s">
        <v>277</v>
      </c>
      <c r="E617" s="445"/>
      <c r="F617" s="445"/>
      <c r="G617" s="445"/>
      <c r="H617" s="445"/>
      <c r="I617" s="77">
        <f>I606-I610</f>
        <v>0</v>
      </c>
      <c r="J617" s="77">
        <f>J606-J610</f>
        <v>0</v>
      </c>
      <c r="K617" s="77">
        <f>K606-K610</f>
        <v>0</v>
      </c>
      <c r="L617" s="80"/>
      <c r="M617" s="82"/>
    </row>
    <row r="618" spans="1:13" s="79" customFormat="1" ht="12.75" customHeight="1">
      <c r="A618" s="407"/>
      <c r="C618" s="151"/>
      <c r="D618" s="444" t="s">
        <v>279</v>
      </c>
      <c r="E618" s="444"/>
      <c r="F618" s="444"/>
      <c r="G618" s="444"/>
      <c r="H618" s="444"/>
      <c r="I618" s="29">
        <f>I619+I620+I621</f>
        <v>0</v>
      </c>
      <c r="J618" s="29">
        <f>J619+J620+J621</f>
        <v>0</v>
      </c>
      <c r="K618" s="29">
        <f>K619+K620+K621</f>
        <v>0</v>
      </c>
      <c r="L618" s="80"/>
      <c r="M618" s="82"/>
    </row>
    <row r="619" spans="1:13" s="79" customFormat="1" ht="13.5" customHeight="1" hidden="1">
      <c r="A619" s="407"/>
      <c r="C619" s="151"/>
      <c r="D619" s="444" t="s">
        <v>278</v>
      </c>
      <c r="E619" s="444"/>
      <c r="F619" s="444"/>
      <c r="G619" s="444"/>
      <c r="H619" s="444"/>
      <c r="I619" s="29">
        <f aca="true" t="shared" si="38" ref="I619:K621">I637+I655</f>
        <v>0</v>
      </c>
      <c r="J619" s="29">
        <f t="shared" si="38"/>
        <v>0</v>
      </c>
      <c r="K619" s="29">
        <f t="shared" si="38"/>
        <v>0</v>
      </c>
      <c r="L619" s="80"/>
      <c r="M619" s="82"/>
    </row>
    <row r="620" spans="1:13" s="79" customFormat="1" ht="13.5" customHeight="1" hidden="1">
      <c r="A620" s="407"/>
      <c r="C620" s="151"/>
      <c r="D620" s="444" t="s">
        <v>280</v>
      </c>
      <c r="E620" s="444"/>
      <c r="F620" s="444"/>
      <c r="G620" s="444"/>
      <c r="H620" s="444"/>
      <c r="I620" s="29">
        <f t="shared" si="38"/>
        <v>0</v>
      </c>
      <c r="J620" s="29">
        <f t="shared" si="38"/>
        <v>0</v>
      </c>
      <c r="K620" s="29">
        <f t="shared" si="38"/>
        <v>0</v>
      </c>
      <c r="L620" s="80"/>
      <c r="M620" s="82"/>
    </row>
    <row r="621" spans="1:13" s="79" customFormat="1" ht="13.5" customHeight="1" hidden="1">
      <c r="A621" s="407"/>
      <c r="C621" s="151"/>
      <c r="D621" s="444" t="s">
        <v>281</v>
      </c>
      <c r="E621" s="444"/>
      <c r="F621" s="444"/>
      <c r="G621" s="444"/>
      <c r="H621" s="444"/>
      <c r="I621" s="29">
        <f t="shared" si="38"/>
        <v>0</v>
      </c>
      <c r="J621" s="29">
        <f t="shared" si="38"/>
        <v>0</v>
      </c>
      <c r="K621" s="29">
        <f t="shared" si="38"/>
        <v>0</v>
      </c>
      <c r="L621" s="80"/>
      <c r="M621" s="82"/>
    </row>
    <row r="622" spans="1:13" s="79" customFormat="1" ht="6" customHeight="1">
      <c r="A622" s="407"/>
      <c r="C622" s="151"/>
      <c r="D622" s="85"/>
      <c r="E622" s="85"/>
      <c r="F622" s="85"/>
      <c r="G622" s="85"/>
      <c r="H622" s="85"/>
      <c r="I622" s="29"/>
      <c r="J622" s="77"/>
      <c r="K622" s="77"/>
      <c r="L622" s="80"/>
      <c r="M622" s="82"/>
    </row>
    <row r="623" spans="1:12" s="95" customFormat="1" ht="13.5" customHeight="1">
      <c r="A623" s="407"/>
      <c r="C623" s="153" t="s">
        <v>93</v>
      </c>
      <c r="D623" s="449" t="s">
        <v>242</v>
      </c>
      <c r="E623" s="449"/>
      <c r="F623" s="449"/>
      <c r="G623" s="449"/>
      <c r="H623" s="449"/>
      <c r="I623" s="129"/>
      <c r="J623" s="127"/>
      <c r="K623" s="127"/>
      <c r="L623" s="127"/>
    </row>
    <row r="624" spans="1:12" s="82" customFormat="1" ht="13.5" customHeight="1">
      <c r="A624" s="407"/>
      <c r="C624" s="149"/>
      <c r="D624" s="447" t="s">
        <v>37</v>
      </c>
      <c r="E624" s="447"/>
      <c r="F624" s="447"/>
      <c r="G624" s="447"/>
      <c r="H624" s="447"/>
      <c r="I624" s="77">
        <f>SUM(I625:I627)</f>
        <v>629388</v>
      </c>
      <c r="J624" s="77">
        <f>SUM(J625:J627)</f>
        <v>0</v>
      </c>
      <c r="K624" s="77">
        <f>SUM(K625:K627)</f>
        <v>629388</v>
      </c>
      <c r="L624" s="80"/>
    </row>
    <row r="625" spans="1:12" s="82" customFormat="1" ht="12.75" customHeight="1">
      <c r="A625" s="407"/>
      <c r="C625" s="149"/>
      <c r="D625" s="446" t="s">
        <v>5</v>
      </c>
      <c r="E625" s="446"/>
      <c r="F625" s="446"/>
      <c r="G625" s="446"/>
      <c r="H625" s="446"/>
      <c r="I625" s="29">
        <f>1230000-600612</f>
        <v>629388</v>
      </c>
      <c r="J625" s="80"/>
      <c r="K625" s="80">
        <f>SUM(I625:J625)</f>
        <v>629388</v>
      </c>
      <c r="L625" s="80"/>
    </row>
    <row r="626" spans="1:12" s="82" customFormat="1" ht="13.5" customHeight="1" hidden="1">
      <c r="A626" s="407"/>
      <c r="C626" s="149"/>
      <c r="D626" s="446" t="s">
        <v>6</v>
      </c>
      <c r="E626" s="446"/>
      <c r="F626" s="446"/>
      <c r="G626" s="446"/>
      <c r="H626" s="446"/>
      <c r="I626" s="29"/>
      <c r="J626" s="80"/>
      <c r="K626" s="80">
        <f>SUM(I626:J626)</f>
        <v>0</v>
      </c>
      <c r="L626" s="80"/>
    </row>
    <row r="627" spans="1:12" s="82" customFormat="1" ht="13.5" customHeight="1" hidden="1">
      <c r="A627" s="407"/>
      <c r="C627" s="149"/>
      <c r="D627" s="446" t="s">
        <v>7</v>
      </c>
      <c r="E627" s="446"/>
      <c r="F627" s="446"/>
      <c r="G627" s="446"/>
      <c r="H627" s="446"/>
      <c r="I627" s="29"/>
      <c r="J627" s="80"/>
      <c r="K627" s="80">
        <f>SUM(I627:J627)</f>
        <v>0</v>
      </c>
      <c r="L627" s="80"/>
    </row>
    <row r="628" spans="1:12" s="82" customFormat="1" ht="13.5" customHeight="1">
      <c r="A628" s="407"/>
      <c r="C628" s="149"/>
      <c r="D628" s="447" t="s">
        <v>38</v>
      </c>
      <c r="E628" s="447"/>
      <c r="F628" s="447"/>
      <c r="G628" s="447"/>
      <c r="H628" s="447"/>
      <c r="I628" s="254">
        <f>SUM(I629:I634)</f>
        <v>629388</v>
      </c>
      <c r="J628" s="254">
        <f>SUM(J629:J634)</f>
        <v>0</v>
      </c>
      <c r="K628" s="254">
        <f>SUM(K629:K634)</f>
        <v>629388</v>
      </c>
      <c r="L628" s="80"/>
    </row>
    <row r="629" spans="1:12" s="82" customFormat="1" ht="13.5" customHeight="1" hidden="1">
      <c r="A629" s="407"/>
      <c r="C629" s="149"/>
      <c r="D629" s="446" t="s">
        <v>289</v>
      </c>
      <c r="E629" s="446"/>
      <c r="F629" s="446"/>
      <c r="G629" s="446"/>
      <c r="H629" s="446"/>
      <c r="I629" s="29"/>
      <c r="J629" s="80"/>
      <c r="K629" s="80">
        <f aca="true" t="shared" si="39" ref="K629:K634">SUM(I629:J629)</f>
        <v>0</v>
      </c>
      <c r="L629" s="80"/>
    </row>
    <row r="630" spans="1:13" s="79" customFormat="1" ht="12.75" customHeight="1">
      <c r="A630" s="407"/>
      <c r="C630" s="151"/>
      <c r="D630" s="444" t="s">
        <v>8</v>
      </c>
      <c r="E630" s="448"/>
      <c r="F630" s="448"/>
      <c r="G630" s="448"/>
      <c r="H630" s="448"/>
      <c r="I630" s="29">
        <f>1230000-600612</f>
        <v>629388</v>
      </c>
      <c r="J630" s="29"/>
      <c r="K630" s="80">
        <f t="shared" si="39"/>
        <v>629388</v>
      </c>
      <c r="L630" s="80"/>
      <c r="M630" s="82"/>
    </row>
    <row r="631" spans="1:12" s="82" customFormat="1" ht="13.5" customHeight="1" hidden="1">
      <c r="A631" s="407"/>
      <c r="C631" s="149"/>
      <c r="D631" s="444" t="s">
        <v>10</v>
      </c>
      <c r="E631" s="444"/>
      <c r="F631" s="444"/>
      <c r="G631" s="444"/>
      <c r="H631" s="444"/>
      <c r="I631" s="29"/>
      <c r="J631" s="80"/>
      <c r="K631" s="80">
        <f t="shared" si="39"/>
        <v>0</v>
      </c>
      <c r="L631" s="80"/>
    </row>
    <row r="632" spans="1:13" s="79" customFormat="1" ht="13.5" customHeight="1" hidden="1">
      <c r="A632" s="407"/>
      <c r="C632" s="151"/>
      <c r="D632" s="444" t="s">
        <v>9</v>
      </c>
      <c r="E632" s="444"/>
      <c r="F632" s="444"/>
      <c r="G632" s="444"/>
      <c r="H632" s="444"/>
      <c r="I632" s="29"/>
      <c r="J632" s="77"/>
      <c r="K632" s="80">
        <f t="shared" si="39"/>
        <v>0</v>
      </c>
      <c r="L632" s="80"/>
      <c r="M632" s="82"/>
    </row>
    <row r="633" spans="1:12" s="82" customFormat="1" ht="13.5" customHeight="1" hidden="1">
      <c r="A633" s="407"/>
      <c r="C633" s="149"/>
      <c r="D633" s="444" t="s">
        <v>11</v>
      </c>
      <c r="E633" s="444"/>
      <c r="F633" s="444"/>
      <c r="G633" s="444"/>
      <c r="H633" s="444"/>
      <c r="I633" s="29"/>
      <c r="J633" s="80"/>
      <c r="K633" s="80">
        <f t="shared" si="39"/>
        <v>0</v>
      </c>
      <c r="L633" s="80"/>
    </row>
    <row r="634" spans="1:12" s="82" customFormat="1" ht="13.5" customHeight="1" hidden="1">
      <c r="A634" s="407"/>
      <c r="C634" s="149"/>
      <c r="D634" s="444" t="s">
        <v>12</v>
      </c>
      <c r="E634" s="444"/>
      <c r="F634" s="444"/>
      <c r="G634" s="444"/>
      <c r="H634" s="444"/>
      <c r="I634" s="29"/>
      <c r="J634" s="80"/>
      <c r="K634" s="80">
        <f t="shared" si="39"/>
        <v>0</v>
      </c>
      <c r="L634" s="80"/>
    </row>
    <row r="635" spans="1:12" s="82" customFormat="1" ht="13.5" customHeight="1">
      <c r="A635" s="407"/>
      <c r="C635" s="149"/>
      <c r="D635" s="445" t="s">
        <v>277</v>
      </c>
      <c r="E635" s="445"/>
      <c r="F635" s="445"/>
      <c r="G635" s="445"/>
      <c r="H635" s="445"/>
      <c r="I635" s="77">
        <f>I624-I628</f>
        <v>0</v>
      </c>
      <c r="J635" s="77">
        <f>J624-J628</f>
        <v>0</v>
      </c>
      <c r="K635" s="77">
        <f>K624-K628</f>
        <v>0</v>
      </c>
      <c r="L635" s="80"/>
    </row>
    <row r="636" spans="1:12" s="82" customFormat="1" ht="13.5" customHeight="1">
      <c r="A636" s="407"/>
      <c r="C636" s="149"/>
      <c r="D636" s="444" t="s">
        <v>279</v>
      </c>
      <c r="E636" s="444"/>
      <c r="F636" s="444"/>
      <c r="G636" s="444"/>
      <c r="H636" s="444"/>
      <c r="I636" s="29">
        <f>I637+I638+I639</f>
        <v>0</v>
      </c>
      <c r="J636" s="29">
        <f>J637+J638+J639</f>
        <v>0</v>
      </c>
      <c r="K636" s="29">
        <f>K637+K638+K639</f>
        <v>0</v>
      </c>
      <c r="L636" s="80"/>
    </row>
    <row r="637" spans="1:12" s="82" customFormat="1" ht="13.5" customHeight="1" hidden="1">
      <c r="A637" s="407"/>
      <c r="C637" s="149"/>
      <c r="D637" s="444" t="s">
        <v>278</v>
      </c>
      <c r="E637" s="444"/>
      <c r="F637" s="444"/>
      <c r="G637" s="444"/>
      <c r="H637" s="444"/>
      <c r="I637" s="29"/>
      <c r="J637" s="77"/>
      <c r="K637" s="80">
        <f>SUM(I637:J637)</f>
        <v>0</v>
      </c>
      <c r="L637" s="80"/>
    </row>
    <row r="638" spans="1:12" s="82" customFormat="1" ht="13.5" customHeight="1" hidden="1">
      <c r="A638" s="407"/>
      <c r="C638" s="149"/>
      <c r="D638" s="444" t="s">
        <v>280</v>
      </c>
      <c r="E638" s="444"/>
      <c r="F638" s="444"/>
      <c r="G638" s="444"/>
      <c r="H638" s="444"/>
      <c r="I638" s="29"/>
      <c r="J638" s="77"/>
      <c r="K638" s="80">
        <f>SUM(I638:J638)</f>
        <v>0</v>
      </c>
      <c r="L638" s="80"/>
    </row>
    <row r="639" spans="1:12" s="82" customFormat="1" ht="13.5" customHeight="1" hidden="1">
      <c r="A639" s="407"/>
      <c r="C639" s="149"/>
      <c r="D639" s="444" t="s">
        <v>281</v>
      </c>
      <c r="E639" s="444"/>
      <c r="F639" s="444"/>
      <c r="G639" s="444"/>
      <c r="H639" s="444"/>
      <c r="I639" s="29"/>
      <c r="J639" s="77"/>
      <c r="K639" s="80">
        <f>SUM(I639:J639)</f>
        <v>0</v>
      </c>
      <c r="L639" s="80"/>
    </row>
    <row r="640" spans="1:12" s="82" customFormat="1" ht="6.75" customHeight="1">
      <c r="A640" s="407"/>
      <c r="C640" s="149"/>
      <c r="D640" s="85"/>
      <c r="E640" s="85"/>
      <c r="F640" s="85"/>
      <c r="G640" s="85"/>
      <c r="H640" s="85"/>
      <c r="I640" s="29"/>
      <c r="J640" s="77"/>
      <c r="K640" s="80"/>
      <c r="L640" s="80"/>
    </row>
    <row r="641" spans="1:12" s="95" customFormat="1" ht="13.5" customHeight="1">
      <c r="A641" s="407"/>
      <c r="C641" s="153" t="s">
        <v>94</v>
      </c>
      <c r="D641" s="449" t="s">
        <v>95</v>
      </c>
      <c r="E641" s="449"/>
      <c r="F641" s="449"/>
      <c r="G641" s="449"/>
      <c r="H641" s="449"/>
      <c r="I641" s="129"/>
      <c r="J641" s="127"/>
      <c r="K641" s="129"/>
      <c r="L641" s="127"/>
    </row>
    <row r="642" spans="1:12" s="82" customFormat="1" ht="13.5" customHeight="1">
      <c r="A642" s="407"/>
      <c r="C642" s="149"/>
      <c r="D642" s="447" t="s">
        <v>37</v>
      </c>
      <c r="E642" s="447"/>
      <c r="F642" s="447"/>
      <c r="G642" s="447"/>
      <c r="H642" s="447"/>
      <c r="I642" s="77">
        <f>SUM(I643:I645)</f>
        <v>100511</v>
      </c>
      <c r="J642" s="77">
        <f>SUM(J643:J645)</f>
        <v>0</v>
      </c>
      <c r="K642" s="77">
        <f>SUM(K643:K645)</f>
        <v>100511</v>
      </c>
      <c r="L642" s="80"/>
    </row>
    <row r="643" spans="1:12" s="82" customFormat="1" ht="12.75" customHeight="1">
      <c r="A643" s="407"/>
      <c r="C643" s="149"/>
      <c r="D643" s="446" t="s">
        <v>5</v>
      </c>
      <c r="E643" s="446"/>
      <c r="F643" s="446"/>
      <c r="G643" s="446"/>
      <c r="H643" s="446"/>
      <c r="I643" s="29">
        <f>248475-147964</f>
        <v>100511</v>
      </c>
      <c r="J643" s="80"/>
      <c r="K643" s="29">
        <f>SUM(I643:J643)</f>
        <v>100511</v>
      </c>
      <c r="L643" s="80"/>
    </row>
    <row r="644" spans="1:12" s="82" customFormat="1" ht="13.5" customHeight="1" hidden="1">
      <c r="A644" s="407"/>
      <c r="C644" s="149"/>
      <c r="D644" s="446" t="s">
        <v>6</v>
      </c>
      <c r="E644" s="446"/>
      <c r="F644" s="446"/>
      <c r="G644" s="446"/>
      <c r="H644" s="446"/>
      <c r="I644" s="29"/>
      <c r="J644" s="80"/>
      <c r="K644" s="29">
        <f>SUM(I644:J644)</f>
        <v>0</v>
      </c>
      <c r="L644" s="80"/>
    </row>
    <row r="645" spans="1:12" s="82" customFormat="1" ht="13.5" customHeight="1" hidden="1">
      <c r="A645" s="407"/>
      <c r="C645" s="149"/>
      <c r="D645" s="446" t="s">
        <v>7</v>
      </c>
      <c r="E645" s="446"/>
      <c r="F645" s="446"/>
      <c r="G645" s="446"/>
      <c r="H645" s="446"/>
      <c r="I645" s="29"/>
      <c r="J645" s="80"/>
      <c r="K645" s="29">
        <f>SUM(I645:J645)</f>
        <v>0</v>
      </c>
      <c r="L645" s="80"/>
    </row>
    <row r="646" spans="1:12" s="82" customFormat="1" ht="12.75" customHeight="1">
      <c r="A646" s="407"/>
      <c r="C646" s="149"/>
      <c r="D646" s="447" t="s">
        <v>38</v>
      </c>
      <c r="E646" s="447"/>
      <c r="F646" s="447"/>
      <c r="G646" s="447"/>
      <c r="H646" s="447"/>
      <c r="I646" s="254">
        <f>SUM(I647:I652)</f>
        <v>100511</v>
      </c>
      <c r="J646" s="254">
        <f>SUM(J647:J652)</f>
        <v>0</v>
      </c>
      <c r="K646" s="254">
        <f>SUM(K647:K652)</f>
        <v>100511</v>
      </c>
      <c r="L646" s="80"/>
    </row>
    <row r="647" spans="1:12" s="82" customFormat="1" ht="13.5" customHeight="1" hidden="1">
      <c r="A647" s="407"/>
      <c r="C647" s="149"/>
      <c r="D647" s="446" t="s">
        <v>289</v>
      </c>
      <c r="E647" s="446"/>
      <c r="F647" s="446"/>
      <c r="G647" s="446"/>
      <c r="H647" s="446"/>
      <c r="I647" s="29"/>
      <c r="J647" s="80"/>
      <c r="K647" s="29">
        <f aca="true" t="shared" si="40" ref="K647:K652">SUM(I647:J647)</f>
        <v>0</v>
      </c>
      <c r="L647" s="80"/>
    </row>
    <row r="648" spans="1:12" s="82" customFormat="1" ht="12.75" customHeight="1">
      <c r="A648" s="407"/>
      <c r="C648" s="149"/>
      <c r="D648" s="444" t="s">
        <v>8</v>
      </c>
      <c r="E648" s="448"/>
      <c r="F648" s="448"/>
      <c r="G648" s="448"/>
      <c r="H648" s="448"/>
      <c r="I648" s="29">
        <f>248475-147964</f>
        <v>100511</v>
      </c>
      <c r="J648" s="80"/>
      <c r="K648" s="29">
        <f t="shared" si="40"/>
        <v>100511</v>
      </c>
      <c r="L648" s="80"/>
    </row>
    <row r="649" spans="1:12" s="82" customFormat="1" ht="13.5" customHeight="1" hidden="1">
      <c r="A649" s="407"/>
      <c r="C649" s="149"/>
      <c r="D649" s="444" t="s">
        <v>10</v>
      </c>
      <c r="E649" s="444"/>
      <c r="F649" s="444"/>
      <c r="G649" s="444"/>
      <c r="H649" s="444"/>
      <c r="I649" s="29"/>
      <c r="J649" s="80"/>
      <c r="K649" s="29">
        <f t="shared" si="40"/>
        <v>0</v>
      </c>
      <c r="L649" s="80"/>
    </row>
    <row r="650" spans="1:12" s="82" customFormat="1" ht="13.5" customHeight="1" hidden="1">
      <c r="A650" s="407"/>
      <c r="C650" s="149"/>
      <c r="D650" s="444" t="s">
        <v>9</v>
      </c>
      <c r="E650" s="444"/>
      <c r="F650" s="444"/>
      <c r="G650" s="444"/>
      <c r="H650" s="444"/>
      <c r="I650" s="29"/>
      <c r="J650" s="80"/>
      <c r="K650" s="29">
        <f t="shared" si="40"/>
        <v>0</v>
      </c>
      <c r="L650" s="80"/>
    </row>
    <row r="651" spans="1:12" s="82" customFormat="1" ht="13.5" customHeight="1" hidden="1">
      <c r="A651" s="407"/>
      <c r="C651" s="149"/>
      <c r="D651" s="444" t="s">
        <v>11</v>
      </c>
      <c r="E651" s="444"/>
      <c r="F651" s="444"/>
      <c r="G651" s="444"/>
      <c r="H651" s="444"/>
      <c r="I651" s="29"/>
      <c r="J651" s="80"/>
      <c r="K651" s="29">
        <f t="shared" si="40"/>
        <v>0</v>
      </c>
      <c r="L651" s="80"/>
    </row>
    <row r="652" spans="1:13" s="79" customFormat="1" ht="13.5" customHeight="1" hidden="1">
      <c r="A652" s="407"/>
      <c r="C652" s="151"/>
      <c r="D652" s="444" t="s">
        <v>12</v>
      </c>
      <c r="E652" s="444"/>
      <c r="F652" s="444"/>
      <c r="G652" s="444"/>
      <c r="H652" s="444"/>
      <c r="I652" s="29"/>
      <c r="J652" s="77"/>
      <c r="K652" s="29">
        <f t="shared" si="40"/>
        <v>0</v>
      </c>
      <c r="L652" s="80"/>
      <c r="M652" s="82"/>
    </row>
    <row r="653" spans="1:13" s="79" customFormat="1" ht="13.5" customHeight="1">
      <c r="A653" s="407"/>
      <c r="C653" s="151"/>
      <c r="D653" s="445" t="s">
        <v>277</v>
      </c>
      <c r="E653" s="445"/>
      <c r="F653" s="445"/>
      <c r="G653" s="445"/>
      <c r="H653" s="445"/>
      <c r="I653" s="77">
        <f>I642-I646</f>
        <v>0</v>
      </c>
      <c r="J653" s="77">
        <f>J642-J646</f>
        <v>0</v>
      </c>
      <c r="K653" s="77">
        <f>K642-K646</f>
        <v>0</v>
      </c>
      <c r="L653" s="80"/>
      <c r="M653" s="82"/>
    </row>
    <row r="654" spans="1:13" s="79" customFormat="1" ht="13.5" customHeight="1">
      <c r="A654" s="407"/>
      <c r="C654" s="151"/>
      <c r="D654" s="444" t="s">
        <v>279</v>
      </c>
      <c r="E654" s="444"/>
      <c r="F654" s="444"/>
      <c r="G654" s="444"/>
      <c r="H654" s="444"/>
      <c r="I654" s="29">
        <f>I655+I656+I657</f>
        <v>0</v>
      </c>
      <c r="J654" s="29">
        <f>J655+J656+J657</f>
        <v>0</v>
      </c>
      <c r="K654" s="29">
        <f>K655+K656+K657</f>
        <v>0</v>
      </c>
      <c r="L654" s="80"/>
      <c r="M654" s="82"/>
    </row>
    <row r="655" spans="1:13" s="79" customFormat="1" ht="13.5" customHeight="1" hidden="1">
      <c r="A655" s="407"/>
      <c r="C655" s="151"/>
      <c r="D655" s="444" t="s">
        <v>278</v>
      </c>
      <c r="E655" s="444"/>
      <c r="F655" s="444"/>
      <c r="G655" s="444"/>
      <c r="H655" s="444"/>
      <c r="I655" s="29"/>
      <c r="J655" s="77"/>
      <c r="K655" s="80">
        <f>SUM(I655:J655)</f>
        <v>0</v>
      </c>
      <c r="L655" s="80"/>
      <c r="M655" s="82"/>
    </row>
    <row r="656" spans="1:13" s="79" customFormat="1" ht="13.5" customHeight="1" hidden="1">
      <c r="A656" s="407"/>
      <c r="C656" s="151"/>
      <c r="D656" s="444" t="s">
        <v>280</v>
      </c>
      <c r="E656" s="444"/>
      <c r="F656" s="444"/>
      <c r="G656" s="444"/>
      <c r="H656" s="444"/>
      <c r="I656" s="29"/>
      <c r="J656" s="77"/>
      <c r="K656" s="80">
        <f>SUM(I656:J656)</f>
        <v>0</v>
      </c>
      <c r="L656" s="80"/>
      <c r="M656" s="82"/>
    </row>
    <row r="657" spans="1:13" s="79" customFormat="1" ht="13.5" customHeight="1" hidden="1">
      <c r="A657" s="407"/>
      <c r="C657" s="151"/>
      <c r="D657" s="444" t="s">
        <v>281</v>
      </c>
      <c r="E657" s="444"/>
      <c r="F657" s="444"/>
      <c r="G657" s="444"/>
      <c r="H657" s="444"/>
      <c r="I657" s="29"/>
      <c r="J657" s="77"/>
      <c r="K657" s="80">
        <f>SUM(I657:J657)</f>
        <v>0</v>
      </c>
      <c r="L657" s="80"/>
      <c r="M657" s="82"/>
    </row>
    <row r="658" spans="1:13" s="79" customFormat="1" ht="10.5" customHeight="1">
      <c r="A658" s="407"/>
      <c r="C658" s="151"/>
      <c r="D658" s="85"/>
      <c r="E658" s="85"/>
      <c r="F658" s="85"/>
      <c r="G658" s="85"/>
      <c r="H658" s="85"/>
      <c r="I658" s="29"/>
      <c r="J658" s="77"/>
      <c r="K658" s="29"/>
      <c r="L658" s="80"/>
      <c r="M658" s="82"/>
    </row>
    <row r="659" spans="1:12" s="82" customFormat="1" ht="13.5" customHeight="1" hidden="1">
      <c r="A659" s="407"/>
      <c r="C659" s="149"/>
      <c r="D659" s="81"/>
      <c r="E659" s="81"/>
      <c r="F659" s="81"/>
      <c r="G659" s="81"/>
      <c r="H659" s="81"/>
      <c r="I659" s="29"/>
      <c r="J659" s="80"/>
      <c r="K659" s="80"/>
      <c r="L659" s="80"/>
    </row>
    <row r="660" spans="1:12" s="82" customFormat="1" ht="13.5" customHeight="1">
      <c r="A660" s="407"/>
      <c r="C660" s="142" t="s">
        <v>50</v>
      </c>
      <c r="D660" s="450" t="s">
        <v>523</v>
      </c>
      <c r="E660" s="450"/>
      <c r="F660" s="450"/>
      <c r="G660" s="450"/>
      <c r="H660" s="450"/>
      <c r="I660" s="17"/>
      <c r="J660" s="126"/>
      <c r="K660" s="126"/>
      <c r="L660" s="80"/>
    </row>
    <row r="661" spans="1:12" s="82" customFormat="1" ht="13.5" customHeight="1">
      <c r="A661" s="407"/>
      <c r="C661" s="154"/>
      <c r="D661" s="447" t="s">
        <v>37</v>
      </c>
      <c r="E661" s="447"/>
      <c r="F661" s="447"/>
      <c r="G661" s="447"/>
      <c r="H661" s="447"/>
      <c r="I661" s="77">
        <f>SUM(I662:I664)</f>
        <v>762224</v>
      </c>
      <c r="J661" s="77">
        <f>SUM(J662:J664)</f>
        <v>115365</v>
      </c>
      <c r="K661" s="77">
        <f>SUM(K662:K664)</f>
        <v>877589</v>
      </c>
      <c r="L661" s="80"/>
    </row>
    <row r="662" spans="1:12" s="82" customFormat="1" ht="12" customHeight="1">
      <c r="A662" s="407"/>
      <c r="C662" s="154"/>
      <c r="D662" s="446" t="s">
        <v>5</v>
      </c>
      <c r="E662" s="446"/>
      <c r="F662" s="446"/>
      <c r="G662" s="446"/>
      <c r="H662" s="446"/>
      <c r="I662" s="29">
        <f aca="true" t="shared" si="41" ref="I662:K664">I680+I698</f>
        <v>762224</v>
      </c>
      <c r="J662" s="29">
        <f t="shared" si="41"/>
        <v>115365</v>
      </c>
      <c r="K662" s="29">
        <f t="shared" si="41"/>
        <v>877589</v>
      </c>
      <c r="L662" s="80"/>
    </row>
    <row r="663" spans="1:12" s="82" customFormat="1" ht="13.5" customHeight="1" hidden="1">
      <c r="A663" s="407"/>
      <c r="C663" s="154"/>
      <c r="D663" s="446" t="s">
        <v>6</v>
      </c>
      <c r="E663" s="446"/>
      <c r="F663" s="446"/>
      <c r="G663" s="446"/>
      <c r="H663" s="446"/>
      <c r="I663" s="29">
        <f t="shared" si="41"/>
        <v>0</v>
      </c>
      <c r="J663" s="29">
        <f t="shared" si="41"/>
        <v>0</v>
      </c>
      <c r="K663" s="29">
        <f t="shared" si="41"/>
        <v>0</v>
      </c>
      <c r="L663" s="80"/>
    </row>
    <row r="664" spans="1:12" s="82" customFormat="1" ht="13.5" customHeight="1" hidden="1">
      <c r="A664" s="407"/>
      <c r="C664" s="154"/>
      <c r="D664" s="446" t="s">
        <v>7</v>
      </c>
      <c r="E664" s="446"/>
      <c r="F664" s="446"/>
      <c r="G664" s="446"/>
      <c r="H664" s="446"/>
      <c r="I664" s="29">
        <f t="shared" si="41"/>
        <v>0</v>
      </c>
      <c r="J664" s="29">
        <f t="shared" si="41"/>
        <v>0</v>
      </c>
      <c r="K664" s="29">
        <f t="shared" si="41"/>
        <v>0</v>
      </c>
      <c r="L664" s="80"/>
    </row>
    <row r="665" spans="1:12" s="82" customFormat="1" ht="12.75" customHeight="1">
      <c r="A665" s="407"/>
      <c r="C665" s="154"/>
      <c r="D665" s="447" t="s">
        <v>38</v>
      </c>
      <c r="E665" s="447"/>
      <c r="F665" s="447"/>
      <c r="G665" s="447"/>
      <c r="H665" s="447"/>
      <c r="I665" s="253">
        <f>SUM(I666:I671)</f>
        <v>762224</v>
      </c>
      <c r="J665" s="253">
        <f>SUM(J666:J671)</f>
        <v>115365</v>
      </c>
      <c r="K665" s="253">
        <f>SUM(K666:K671)</f>
        <v>877589</v>
      </c>
      <c r="L665" s="80"/>
    </row>
    <row r="666" spans="1:12" s="82" customFormat="1" ht="12" customHeight="1" hidden="1">
      <c r="A666" s="407"/>
      <c r="C666" s="154"/>
      <c r="D666" s="446" t="s">
        <v>289</v>
      </c>
      <c r="E666" s="446"/>
      <c r="F666" s="446"/>
      <c r="G666" s="446"/>
      <c r="H666" s="446"/>
      <c r="I666" s="29">
        <f aca="true" t="shared" si="42" ref="I666:K671">I684+I702</f>
        <v>0</v>
      </c>
      <c r="J666" s="29">
        <f t="shared" si="42"/>
        <v>0</v>
      </c>
      <c r="K666" s="29">
        <f t="shared" si="42"/>
        <v>0</v>
      </c>
      <c r="L666" s="80"/>
    </row>
    <row r="667" spans="1:12" s="82" customFormat="1" ht="12" customHeight="1">
      <c r="A667" s="407"/>
      <c r="C667" s="154"/>
      <c r="D667" s="444" t="s">
        <v>8</v>
      </c>
      <c r="E667" s="448"/>
      <c r="F667" s="448"/>
      <c r="G667" s="448"/>
      <c r="H667" s="448"/>
      <c r="I667" s="29">
        <f t="shared" si="42"/>
        <v>758576</v>
      </c>
      <c r="J667" s="29">
        <f t="shared" si="42"/>
        <v>96681</v>
      </c>
      <c r="K667" s="29">
        <f t="shared" si="42"/>
        <v>855257</v>
      </c>
      <c r="L667" s="80"/>
    </row>
    <row r="668" spans="1:12" s="82" customFormat="1" ht="12" customHeight="1" hidden="1">
      <c r="A668" s="407"/>
      <c r="C668" s="154"/>
      <c r="D668" s="444" t="s">
        <v>10</v>
      </c>
      <c r="E668" s="444"/>
      <c r="F668" s="444"/>
      <c r="G668" s="444"/>
      <c r="H668" s="444"/>
      <c r="I668" s="29">
        <f t="shared" si="42"/>
        <v>0</v>
      </c>
      <c r="J668" s="29">
        <f t="shared" si="42"/>
        <v>0</v>
      </c>
      <c r="K668" s="29">
        <f t="shared" si="42"/>
        <v>0</v>
      </c>
      <c r="L668" s="80"/>
    </row>
    <row r="669" spans="1:12" s="82" customFormat="1" ht="12" customHeight="1" hidden="1">
      <c r="A669" s="407"/>
      <c r="C669" s="151"/>
      <c r="D669" s="444" t="s">
        <v>9</v>
      </c>
      <c r="E669" s="444"/>
      <c r="F669" s="444"/>
      <c r="G669" s="444"/>
      <c r="H669" s="444"/>
      <c r="I669" s="29">
        <f t="shared" si="42"/>
        <v>0</v>
      </c>
      <c r="J669" s="29">
        <f t="shared" si="42"/>
        <v>0</v>
      </c>
      <c r="K669" s="29">
        <f t="shared" si="42"/>
        <v>0</v>
      </c>
      <c r="L669" s="80"/>
    </row>
    <row r="670" spans="1:12" s="82" customFormat="1" ht="11.25" customHeight="1">
      <c r="A670" s="407"/>
      <c r="C670" s="149"/>
      <c r="D670" s="444" t="s">
        <v>11</v>
      </c>
      <c r="E670" s="444"/>
      <c r="F670" s="444"/>
      <c r="G670" s="444"/>
      <c r="H670" s="444"/>
      <c r="I670" s="29">
        <f t="shared" si="42"/>
        <v>3648</v>
      </c>
      <c r="J670" s="29">
        <f t="shared" si="42"/>
        <v>18684</v>
      </c>
      <c r="K670" s="29">
        <f t="shared" si="42"/>
        <v>22332</v>
      </c>
      <c r="L670" s="80"/>
    </row>
    <row r="671" spans="1:12" s="82" customFormat="1" ht="12" customHeight="1" hidden="1">
      <c r="A671" s="407"/>
      <c r="C671" s="151"/>
      <c r="D671" s="444" t="s">
        <v>12</v>
      </c>
      <c r="E671" s="444"/>
      <c r="F671" s="444"/>
      <c r="G671" s="444"/>
      <c r="H671" s="444"/>
      <c r="I671" s="29">
        <f t="shared" si="42"/>
        <v>0</v>
      </c>
      <c r="J671" s="29">
        <f t="shared" si="42"/>
        <v>0</v>
      </c>
      <c r="K671" s="29">
        <f t="shared" si="42"/>
        <v>0</v>
      </c>
      <c r="L671" s="80"/>
    </row>
    <row r="672" spans="1:12" s="82" customFormat="1" ht="14.25" customHeight="1">
      <c r="A672" s="407"/>
      <c r="C672" s="151"/>
      <c r="D672" s="445" t="s">
        <v>277</v>
      </c>
      <c r="E672" s="445"/>
      <c r="F672" s="445"/>
      <c r="G672" s="445"/>
      <c r="H672" s="445"/>
      <c r="I672" s="77">
        <f>I661-I665</f>
        <v>0</v>
      </c>
      <c r="J672" s="77">
        <f>J661-J665</f>
        <v>0</v>
      </c>
      <c r="K672" s="77">
        <f>K661-K665</f>
        <v>0</v>
      </c>
      <c r="L672" s="80"/>
    </row>
    <row r="673" spans="1:12" s="82" customFormat="1" ht="12" customHeight="1">
      <c r="A673" s="407"/>
      <c r="C673" s="151"/>
      <c r="D673" s="444" t="s">
        <v>279</v>
      </c>
      <c r="E673" s="444"/>
      <c r="F673" s="444"/>
      <c r="G673" s="444"/>
      <c r="H673" s="444"/>
      <c r="I673" s="29">
        <f>I674+I675+I676</f>
        <v>0</v>
      </c>
      <c r="J673" s="29">
        <f>J674+J675+J676</f>
        <v>0</v>
      </c>
      <c r="K673" s="29">
        <f>K674+K675+K676</f>
        <v>0</v>
      </c>
      <c r="L673" s="80"/>
    </row>
    <row r="674" spans="1:12" s="82" customFormat="1" ht="13.5" customHeight="1" hidden="1">
      <c r="A674" s="407"/>
      <c r="C674" s="151"/>
      <c r="D674" s="444" t="s">
        <v>278</v>
      </c>
      <c r="E674" s="444"/>
      <c r="F674" s="444"/>
      <c r="G674" s="444"/>
      <c r="H674" s="444"/>
      <c r="I674" s="29">
        <f aca="true" t="shared" si="43" ref="I674:K676">I692+I710</f>
        <v>0</v>
      </c>
      <c r="J674" s="29">
        <f t="shared" si="43"/>
        <v>0</v>
      </c>
      <c r="K674" s="29">
        <f t="shared" si="43"/>
        <v>0</v>
      </c>
      <c r="L674" s="80"/>
    </row>
    <row r="675" spans="1:12" s="82" customFormat="1" ht="13.5" customHeight="1" hidden="1">
      <c r="A675" s="407"/>
      <c r="C675" s="151"/>
      <c r="D675" s="444" t="s">
        <v>280</v>
      </c>
      <c r="E675" s="444"/>
      <c r="F675" s="444"/>
      <c r="G675" s="444"/>
      <c r="H675" s="444"/>
      <c r="I675" s="29">
        <f t="shared" si="43"/>
        <v>0</v>
      </c>
      <c r="J675" s="29">
        <f t="shared" si="43"/>
        <v>0</v>
      </c>
      <c r="K675" s="29">
        <f t="shared" si="43"/>
        <v>0</v>
      </c>
      <c r="L675" s="80"/>
    </row>
    <row r="676" spans="1:12" s="82" customFormat="1" ht="13.5" customHeight="1" hidden="1">
      <c r="A676" s="407"/>
      <c r="C676" s="151"/>
      <c r="D676" s="444" t="s">
        <v>281</v>
      </c>
      <c r="E676" s="444"/>
      <c r="F676" s="444"/>
      <c r="G676" s="444"/>
      <c r="H676" s="444"/>
      <c r="I676" s="29">
        <f t="shared" si="43"/>
        <v>0</v>
      </c>
      <c r="J676" s="29">
        <f t="shared" si="43"/>
        <v>0</v>
      </c>
      <c r="K676" s="29">
        <f t="shared" si="43"/>
        <v>0</v>
      </c>
      <c r="L676" s="80"/>
    </row>
    <row r="677" spans="1:12" s="82" customFormat="1" ht="4.5" customHeight="1">
      <c r="A677" s="407"/>
      <c r="C677" s="151"/>
      <c r="D677" s="85"/>
      <c r="E677" s="85"/>
      <c r="F677" s="85"/>
      <c r="G677" s="85"/>
      <c r="H677" s="85"/>
      <c r="I677" s="29"/>
      <c r="J677" s="77"/>
      <c r="K677" s="77"/>
      <c r="L677" s="80"/>
    </row>
    <row r="678" spans="1:12" s="82" customFormat="1" ht="13.5" customHeight="1">
      <c r="A678" s="407"/>
      <c r="C678" s="153" t="s">
        <v>93</v>
      </c>
      <c r="D678" s="449" t="s">
        <v>242</v>
      </c>
      <c r="E678" s="449"/>
      <c r="F678" s="449"/>
      <c r="G678" s="449"/>
      <c r="H678" s="449"/>
      <c r="I678" s="129"/>
      <c r="J678" s="127"/>
      <c r="K678" s="127"/>
      <c r="L678" s="80"/>
    </row>
    <row r="679" spans="1:12" s="82" customFormat="1" ht="13.5" customHeight="1">
      <c r="A679" s="407"/>
      <c r="C679" s="149"/>
      <c r="D679" s="447" t="s">
        <v>37</v>
      </c>
      <c r="E679" s="447"/>
      <c r="F679" s="447"/>
      <c r="G679" s="447"/>
      <c r="H679" s="447"/>
      <c r="I679" s="77">
        <f>SUM(I680:I682)</f>
        <v>610612</v>
      </c>
      <c r="J679" s="77">
        <f>SUM(J680:J682)</f>
        <v>36702</v>
      </c>
      <c r="K679" s="77">
        <f>SUM(K680:K682)</f>
        <v>647314</v>
      </c>
      <c r="L679" s="80"/>
    </row>
    <row r="680" spans="1:12" s="82" customFormat="1" ht="12.75" customHeight="1">
      <c r="A680" s="407"/>
      <c r="C680" s="149"/>
      <c r="D680" s="446" t="s">
        <v>5</v>
      </c>
      <c r="E680" s="446"/>
      <c r="F680" s="446"/>
      <c r="G680" s="446"/>
      <c r="H680" s="446"/>
      <c r="I680" s="29">
        <f>610612</f>
        <v>610612</v>
      </c>
      <c r="J680" s="80">
        <f>36702</f>
        <v>36702</v>
      </c>
      <c r="K680" s="80">
        <f>SUM(I680:J680)</f>
        <v>647314</v>
      </c>
      <c r="L680" s="80"/>
    </row>
    <row r="681" spans="1:12" s="82" customFormat="1" ht="13.5" customHeight="1" hidden="1">
      <c r="A681" s="407"/>
      <c r="C681" s="149"/>
      <c r="D681" s="446" t="s">
        <v>6</v>
      </c>
      <c r="E681" s="446"/>
      <c r="F681" s="446"/>
      <c r="G681" s="446"/>
      <c r="H681" s="446"/>
      <c r="I681" s="29"/>
      <c r="J681" s="80"/>
      <c r="K681" s="80">
        <f>SUM(I681:J681)</f>
        <v>0</v>
      </c>
      <c r="L681" s="80"/>
    </row>
    <row r="682" spans="1:12" s="82" customFormat="1" ht="13.5" customHeight="1" hidden="1">
      <c r="A682" s="407"/>
      <c r="C682" s="149"/>
      <c r="D682" s="446" t="s">
        <v>7</v>
      </c>
      <c r="E682" s="446"/>
      <c r="F682" s="446"/>
      <c r="G682" s="446"/>
      <c r="H682" s="446"/>
      <c r="I682" s="29"/>
      <c r="J682" s="80"/>
      <c r="K682" s="80">
        <f>SUM(I682:J682)</f>
        <v>0</v>
      </c>
      <c r="L682" s="80"/>
    </row>
    <row r="683" spans="1:12" s="82" customFormat="1" ht="13.5" customHeight="1">
      <c r="A683" s="407"/>
      <c r="C683" s="149"/>
      <c r="D683" s="447" t="s">
        <v>38</v>
      </c>
      <c r="E683" s="447"/>
      <c r="F683" s="447"/>
      <c r="G683" s="447"/>
      <c r="H683" s="447"/>
      <c r="I683" s="254">
        <f>SUM(I684:I689)</f>
        <v>610612</v>
      </c>
      <c r="J683" s="254">
        <f>SUM(J684:J689)</f>
        <v>36702</v>
      </c>
      <c r="K683" s="254">
        <f>SUM(K684:K689)</f>
        <v>647314</v>
      </c>
      <c r="L683" s="80"/>
    </row>
    <row r="684" spans="1:12" s="82" customFormat="1" ht="13.5" customHeight="1" hidden="1">
      <c r="A684" s="407"/>
      <c r="C684" s="149"/>
      <c r="D684" s="446" t="s">
        <v>289</v>
      </c>
      <c r="E684" s="446"/>
      <c r="F684" s="446"/>
      <c r="G684" s="446"/>
      <c r="H684" s="446"/>
      <c r="I684" s="29"/>
      <c r="J684" s="80"/>
      <c r="K684" s="80">
        <f aca="true" t="shared" si="44" ref="K684:K689">SUM(I684:J684)</f>
        <v>0</v>
      </c>
      <c r="L684" s="80"/>
    </row>
    <row r="685" spans="1:12" s="82" customFormat="1" ht="12.75" customHeight="1">
      <c r="A685" s="407"/>
      <c r="C685" s="151"/>
      <c r="D685" s="444" t="s">
        <v>8</v>
      </c>
      <c r="E685" s="448"/>
      <c r="F685" s="448"/>
      <c r="G685" s="448"/>
      <c r="H685" s="448"/>
      <c r="I685" s="29">
        <f>610612</f>
        <v>610612</v>
      </c>
      <c r="J685" s="29">
        <f>36702</f>
        <v>36702</v>
      </c>
      <c r="K685" s="80">
        <f t="shared" si="44"/>
        <v>647314</v>
      </c>
      <c r="L685" s="80"/>
    </row>
    <row r="686" spans="1:12" s="82" customFormat="1" ht="13.5" customHeight="1" hidden="1">
      <c r="A686" s="407"/>
      <c r="C686" s="149"/>
      <c r="D686" s="444" t="s">
        <v>10</v>
      </c>
      <c r="E686" s="444"/>
      <c r="F686" s="444"/>
      <c r="G686" s="444"/>
      <c r="H686" s="444"/>
      <c r="I686" s="29"/>
      <c r="J686" s="80"/>
      <c r="K686" s="80">
        <f t="shared" si="44"/>
        <v>0</v>
      </c>
      <c r="L686" s="80"/>
    </row>
    <row r="687" spans="1:12" s="82" customFormat="1" ht="13.5" customHeight="1" hidden="1">
      <c r="A687" s="407"/>
      <c r="C687" s="151"/>
      <c r="D687" s="444" t="s">
        <v>9</v>
      </c>
      <c r="E687" s="444"/>
      <c r="F687" s="444"/>
      <c r="G687" s="444"/>
      <c r="H687" s="444"/>
      <c r="I687" s="29"/>
      <c r="J687" s="77"/>
      <c r="K687" s="80">
        <f t="shared" si="44"/>
        <v>0</v>
      </c>
      <c r="L687" s="80"/>
    </row>
    <row r="688" spans="1:12" s="82" customFormat="1" ht="13.5" customHeight="1" hidden="1">
      <c r="A688" s="407"/>
      <c r="C688" s="149"/>
      <c r="D688" s="444" t="s">
        <v>11</v>
      </c>
      <c r="E688" s="444"/>
      <c r="F688" s="444"/>
      <c r="G688" s="444"/>
      <c r="H688" s="444"/>
      <c r="I688" s="29"/>
      <c r="J688" s="80"/>
      <c r="K688" s="80">
        <f t="shared" si="44"/>
        <v>0</v>
      </c>
      <c r="L688" s="80"/>
    </row>
    <row r="689" spans="1:12" s="82" customFormat="1" ht="13.5" customHeight="1" hidden="1">
      <c r="A689" s="407"/>
      <c r="C689" s="149"/>
      <c r="D689" s="444" t="s">
        <v>12</v>
      </c>
      <c r="E689" s="444"/>
      <c r="F689" s="444"/>
      <c r="G689" s="444"/>
      <c r="H689" s="444"/>
      <c r="I689" s="29"/>
      <c r="J689" s="80"/>
      <c r="K689" s="80">
        <f t="shared" si="44"/>
        <v>0</v>
      </c>
      <c r="L689" s="80"/>
    </row>
    <row r="690" spans="1:12" s="82" customFormat="1" ht="13.5" customHeight="1">
      <c r="A690" s="407"/>
      <c r="C690" s="149"/>
      <c r="D690" s="445" t="s">
        <v>277</v>
      </c>
      <c r="E690" s="445"/>
      <c r="F690" s="445"/>
      <c r="G690" s="445"/>
      <c r="H690" s="445"/>
      <c r="I690" s="77">
        <f>I679-I683</f>
        <v>0</v>
      </c>
      <c r="J690" s="77">
        <f>J679-J683</f>
        <v>0</v>
      </c>
      <c r="K690" s="77">
        <f>K679-K683</f>
        <v>0</v>
      </c>
      <c r="L690" s="80"/>
    </row>
    <row r="691" spans="1:12" s="82" customFormat="1" ht="12.75" customHeight="1">
      <c r="A691" s="407"/>
      <c r="C691" s="149"/>
      <c r="D691" s="444" t="s">
        <v>279</v>
      </c>
      <c r="E691" s="444"/>
      <c r="F691" s="444"/>
      <c r="G691" s="444"/>
      <c r="H691" s="444"/>
      <c r="I691" s="29">
        <f>I692+I693+I694</f>
        <v>0</v>
      </c>
      <c r="J691" s="29">
        <f>J692+J693+J694</f>
        <v>0</v>
      </c>
      <c r="K691" s="29">
        <f>K692+K693+K694</f>
        <v>0</v>
      </c>
      <c r="L691" s="80"/>
    </row>
    <row r="692" spans="1:12" s="82" customFormat="1" ht="13.5" customHeight="1" hidden="1">
      <c r="A692" s="407"/>
      <c r="C692" s="149"/>
      <c r="D692" s="444" t="s">
        <v>278</v>
      </c>
      <c r="E692" s="444"/>
      <c r="F692" s="444"/>
      <c r="G692" s="444"/>
      <c r="H692" s="444"/>
      <c r="I692" s="29"/>
      <c r="J692" s="77"/>
      <c r="K692" s="80">
        <f>SUM(I692:J692)</f>
        <v>0</v>
      </c>
      <c r="L692" s="80"/>
    </row>
    <row r="693" spans="1:12" s="82" customFormat="1" ht="13.5" customHeight="1" hidden="1">
      <c r="A693" s="407"/>
      <c r="C693" s="149"/>
      <c r="D693" s="444" t="s">
        <v>280</v>
      </c>
      <c r="E693" s="444"/>
      <c r="F693" s="444"/>
      <c r="G693" s="444"/>
      <c r="H693" s="444"/>
      <c r="I693" s="29"/>
      <c r="J693" s="77"/>
      <c r="K693" s="80">
        <f>SUM(I693:J693)</f>
        <v>0</v>
      </c>
      <c r="L693" s="80"/>
    </row>
    <row r="694" spans="1:12" s="82" customFormat="1" ht="13.5" customHeight="1" hidden="1">
      <c r="A694" s="407"/>
      <c r="C694" s="149"/>
      <c r="D694" s="444" t="s">
        <v>281</v>
      </c>
      <c r="E694" s="444"/>
      <c r="F694" s="444"/>
      <c r="G694" s="444"/>
      <c r="H694" s="444"/>
      <c r="I694" s="29"/>
      <c r="J694" s="77"/>
      <c r="K694" s="80">
        <f>SUM(I694:J694)</f>
        <v>0</v>
      </c>
      <c r="L694" s="80"/>
    </row>
    <row r="695" spans="1:12" s="82" customFormat="1" ht="3.75" customHeight="1">
      <c r="A695" s="407"/>
      <c r="C695" s="149"/>
      <c r="D695" s="85"/>
      <c r="E695" s="85"/>
      <c r="F695" s="85"/>
      <c r="G695" s="85"/>
      <c r="H695" s="85"/>
      <c r="I695" s="29"/>
      <c r="J695" s="77"/>
      <c r="K695" s="80"/>
      <c r="L695" s="80"/>
    </row>
    <row r="696" spans="1:12" s="82" customFormat="1" ht="13.5" customHeight="1">
      <c r="A696" s="407"/>
      <c r="C696" s="153" t="s">
        <v>94</v>
      </c>
      <c r="D696" s="449" t="s">
        <v>95</v>
      </c>
      <c r="E696" s="449"/>
      <c r="F696" s="449"/>
      <c r="G696" s="449"/>
      <c r="H696" s="449"/>
      <c r="I696" s="129"/>
      <c r="J696" s="127"/>
      <c r="K696" s="129"/>
      <c r="L696" s="80"/>
    </row>
    <row r="697" spans="1:12" s="82" customFormat="1" ht="13.5" customHeight="1">
      <c r="A697" s="407"/>
      <c r="C697" s="149"/>
      <c r="D697" s="447" t="s">
        <v>37</v>
      </c>
      <c r="E697" s="447"/>
      <c r="F697" s="447"/>
      <c r="G697" s="447"/>
      <c r="H697" s="447"/>
      <c r="I697" s="77">
        <f>SUM(I698:I700)</f>
        <v>151612</v>
      </c>
      <c r="J697" s="77">
        <f>SUM(J698:J700)</f>
        <v>78663</v>
      </c>
      <c r="K697" s="77">
        <f>SUM(K698:K700)</f>
        <v>230275</v>
      </c>
      <c r="L697" s="80"/>
    </row>
    <row r="698" spans="1:12" s="82" customFormat="1" ht="12.75" customHeight="1">
      <c r="A698" s="407"/>
      <c r="C698" s="149"/>
      <c r="D698" s="446" t="s">
        <v>5</v>
      </c>
      <c r="E698" s="446"/>
      <c r="F698" s="446"/>
      <c r="G698" s="446"/>
      <c r="H698" s="446"/>
      <c r="I698" s="29">
        <f>151612</f>
        <v>151612</v>
      </c>
      <c r="J698" s="80">
        <f>78663</f>
        <v>78663</v>
      </c>
      <c r="K698" s="29">
        <f>SUM(I698:J698)</f>
        <v>230275</v>
      </c>
      <c r="L698" s="80"/>
    </row>
    <row r="699" spans="1:12" s="82" customFormat="1" ht="13.5" customHeight="1" hidden="1">
      <c r="A699" s="407"/>
      <c r="C699" s="149"/>
      <c r="D699" s="446" t="s">
        <v>6</v>
      </c>
      <c r="E699" s="446"/>
      <c r="F699" s="446"/>
      <c r="G699" s="446"/>
      <c r="H699" s="446"/>
      <c r="I699" s="29"/>
      <c r="J699" s="80"/>
      <c r="K699" s="29">
        <f>SUM(I699:J699)</f>
        <v>0</v>
      </c>
      <c r="L699" s="80"/>
    </row>
    <row r="700" spans="1:12" s="82" customFormat="1" ht="13.5" customHeight="1" hidden="1">
      <c r="A700" s="407"/>
      <c r="C700" s="149"/>
      <c r="D700" s="446" t="s">
        <v>7</v>
      </c>
      <c r="E700" s="446"/>
      <c r="F700" s="446"/>
      <c r="G700" s="446"/>
      <c r="H700" s="446"/>
      <c r="I700" s="29"/>
      <c r="J700" s="80"/>
      <c r="K700" s="29">
        <f>SUM(I700:J700)</f>
        <v>0</v>
      </c>
      <c r="L700" s="80"/>
    </row>
    <row r="701" spans="1:12" s="82" customFormat="1" ht="13.5" customHeight="1">
      <c r="A701" s="407"/>
      <c r="C701" s="149"/>
      <c r="D701" s="447" t="s">
        <v>38</v>
      </c>
      <c r="E701" s="447"/>
      <c r="F701" s="447"/>
      <c r="G701" s="447"/>
      <c r="H701" s="447"/>
      <c r="I701" s="254">
        <f>SUM(I702:I707)</f>
        <v>151612</v>
      </c>
      <c r="J701" s="254">
        <f>SUM(J702:J707)</f>
        <v>78663</v>
      </c>
      <c r="K701" s="254">
        <f>SUM(K702:K707)</f>
        <v>230275</v>
      </c>
      <c r="L701" s="80"/>
    </row>
    <row r="702" spans="1:12" s="82" customFormat="1" ht="13.5" customHeight="1" hidden="1">
      <c r="A702" s="407"/>
      <c r="C702" s="149"/>
      <c r="D702" s="446" t="s">
        <v>289</v>
      </c>
      <c r="E702" s="446"/>
      <c r="F702" s="446"/>
      <c r="G702" s="446"/>
      <c r="H702" s="446"/>
      <c r="I702" s="29"/>
      <c r="J702" s="80"/>
      <c r="K702" s="29">
        <f aca="true" t="shared" si="45" ref="K702:K707">SUM(I702:J702)</f>
        <v>0</v>
      </c>
      <c r="L702" s="80"/>
    </row>
    <row r="703" spans="1:12" s="82" customFormat="1" ht="12" customHeight="1">
      <c r="A703" s="407"/>
      <c r="C703" s="149"/>
      <c r="D703" s="444" t="s">
        <v>8</v>
      </c>
      <c r="E703" s="448"/>
      <c r="F703" s="448"/>
      <c r="G703" s="448"/>
      <c r="H703" s="448"/>
      <c r="I703" s="29">
        <f>151612-3648</f>
        <v>147964</v>
      </c>
      <c r="J703" s="80">
        <f>59979</f>
        <v>59979</v>
      </c>
      <c r="K703" s="29">
        <f t="shared" si="45"/>
        <v>207943</v>
      </c>
      <c r="L703" s="80"/>
    </row>
    <row r="704" spans="1:12" s="82" customFormat="1" ht="12" customHeight="1" hidden="1">
      <c r="A704" s="407"/>
      <c r="C704" s="149"/>
      <c r="D704" s="444" t="s">
        <v>10</v>
      </c>
      <c r="E704" s="444"/>
      <c r="F704" s="444"/>
      <c r="G704" s="444"/>
      <c r="H704" s="444"/>
      <c r="I704" s="29"/>
      <c r="J704" s="80"/>
      <c r="K704" s="29">
        <f t="shared" si="45"/>
        <v>0</v>
      </c>
      <c r="L704" s="80"/>
    </row>
    <row r="705" spans="1:12" s="82" customFormat="1" ht="12" customHeight="1" hidden="1">
      <c r="A705" s="407"/>
      <c r="C705" s="149"/>
      <c r="D705" s="444" t="s">
        <v>9</v>
      </c>
      <c r="E705" s="444"/>
      <c r="F705" s="444"/>
      <c r="G705" s="444"/>
      <c r="H705" s="444"/>
      <c r="I705" s="29"/>
      <c r="J705" s="80"/>
      <c r="K705" s="29">
        <f t="shared" si="45"/>
        <v>0</v>
      </c>
      <c r="L705" s="80"/>
    </row>
    <row r="706" spans="1:12" s="82" customFormat="1" ht="12" customHeight="1">
      <c r="A706" s="407"/>
      <c r="C706" s="149"/>
      <c r="D706" s="444" t="s">
        <v>11</v>
      </c>
      <c r="E706" s="444"/>
      <c r="F706" s="444"/>
      <c r="G706" s="444"/>
      <c r="H706" s="444"/>
      <c r="I706" s="29">
        <v>3648</v>
      </c>
      <c r="J706" s="80">
        <f>18684</f>
        <v>18684</v>
      </c>
      <c r="K706" s="29">
        <f t="shared" si="45"/>
        <v>22332</v>
      </c>
      <c r="L706" s="80"/>
    </row>
    <row r="707" spans="1:12" s="82" customFormat="1" ht="12" customHeight="1" hidden="1">
      <c r="A707" s="407"/>
      <c r="C707" s="151"/>
      <c r="D707" s="444" t="s">
        <v>12</v>
      </c>
      <c r="E707" s="444"/>
      <c r="F707" s="444"/>
      <c r="G707" s="444"/>
      <c r="H707" s="444"/>
      <c r="I707" s="29"/>
      <c r="J707" s="77"/>
      <c r="K707" s="29">
        <f t="shared" si="45"/>
        <v>0</v>
      </c>
      <c r="L707" s="80"/>
    </row>
    <row r="708" spans="1:12" s="82" customFormat="1" ht="14.25" customHeight="1">
      <c r="A708" s="407"/>
      <c r="C708" s="151"/>
      <c r="D708" s="445" t="s">
        <v>277</v>
      </c>
      <c r="E708" s="445"/>
      <c r="F708" s="445"/>
      <c r="G708" s="445"/>
      <c r="H708" s="445"/>
      <c r="I708" s="77">
        <f>I697-I701</f>
        <v>0</v>
      </c>
      <c r="J708" s="77">
        <f>J697-J701</f>
        <v>0</v>
      </c>
      <c r="K708" s="77">
        <f>K697-K701</f>
        <v>0</v>
      </c>
      <c r="L708" s="80"/>
    </row>
    <row r="709" spans="1:12" s="82" customFormat="1" ht="12" customHeight="1">
      <c r="A709" s="407"/>
      <c r="C709" s="151"/>
      <c r="D709" s="444" t="s">
        <v>279</v>
      </c>
      <c r="E709" s="444"/>
      <c r="F709" s="444"/>
      <c r="G709" s="444"/>
      <c r="H709" s="444"/>
      <c r="I709" s="29">
        <f>I710+I711+I712</f>
        <v>0</v>
      </c>
      <c r="J709" s="29">
        <f>J710+J711+J712</f>
        <v>0</v>
      </c>
      <c r="K709" s="29">
        <f>K710+K711+K712</f>
        <v>0</v>
      </c>
      <c r="L709" s="80"/>
    </row>
    <row r="710" spans="1:12" s="82" customFormat="1" ht="13.5" customHeight="1" hidden="1">
      <c r="A710" s="407"/>
      <c r="C710" s="151"/>
      <c r="D710" s="444" t="s">
        <v>278</v>
      </c>
      <c r="E710" s="444"/>
      <c r="F710" s="444"/>
      <c r="G710" s="444"/>
      <c r="H710" s="444"/>
      <c r="I710" s="29"/>
      <c r="J710" s="77"/>
      <c r="K710" s="80">
        <f>SUM(I710:J710)</f>
        <v>0</v>
      </c>
      <c r="L710" s="80"/>
    </row>
    <row r="711" spans="1:12" s="82" customFormat="1" ht="13.5" customHeight="1" hidden="1">
      <c r="A711" s="407"/>
      <c r="C711" s="151"/>
      <c r="D711" s="444" t="s">
        <v>280</v>
      </c>
      <c r="E711" s="444"/>
      <c r="F711" s="444"/>
      <c r="G711" s="444"/>
      <c r="H711" s="444"/>
      <c r="I711" s="29"/>
      <c r="J711" s="77"/>
      <c r="K711" s="80">
        <f>SUM(I711:J711)</f>
        <v>0</v>
      </c>
      <c r="L711" s="80"/>
    </row>
    <row r="712" spans="1:12" s="82" customFormat="1" ht="13.5" customHeight="1" hidden="1">
      <c r="A712" s="407"/>
      <c r="C712" s="151"/>
      <c r="D712" s="444" t="s">
        <v>281</v>
      </c>
      <c r="E712" s="444"/>
      <c r="F712" s="444"/>
      <c r="G712" s="444"/>
      <c r="H712" s="444"/>
      <c r="I712" s="29"/>
      <c r="J712" s="77"/>
      <c r="K712" s="80">
        <f>SUM(I712:J712)</f>
        <v>0</v>
      </c>
      <c r="L712" s="80"/>
    </row>
    <row r="713" spans="1:12" s="82" customFormat="1" ht="6.75" customHeight="1">
      <c r="A713" s="407"/>
      <c r="C713" s="151"/>
      <c r="D713" s="85"/>
      <c r="E713" s="85"/>
      <c r="F713" s="85"/>
      <c r="G713" s="85"/>
      <c r="H713" s="85"/>
      <c r="I713" s="29"/>
      <c r="J713" s="77"/>
      <c r="K713" s="29"/>
      <c r="L713" s="80"/>
    </row>
    <row r="714" spans="1:12" s="82" customFormat="1" ht="1.5" customHeight="1" hidden="1">
      <c r="A714" s="407"/>
      <c r="C714" s="149"/>
      <c r="D714" s="81"/>
      <c r="E714" s="81"/>
      <c r="F714" s="81"/>
      <c r="G714" s="81"/>
      <c r="H714" s="81"/>
      <c r="I714" s="29"/>
      <c r="J714" s="80"/>
      <c r="K714" s="80"/>
      <c r="L714" s="80"/>
    </row>
    <row r="715" spans="1:12" s="95" customFormat="1" ht="13.5" customHeight="1">
      <c r="A715" s="407"/>
      <c r="C715" s="142" t="s">
        <v>93</v>
      </c>
      <c r="D715" s="454" t="s">
        <v>187</v>
      </c>
      <c r="E715" s="454"/>
      <c r="F715" s="454"/>
      <c r="G715" s="454"/>
      <c r="H715" s="454"/>
      <c r="I715" s="17"/>
      <c r="J715" s="127"/>
      <c r="K715" s="127"/>
      <c r="L715" s="127"/>
    </row>
    <row r="716" spans="1:12" s="82" customFormat="1" ht="13.5" customHeight="1">
      <c r="A716" s="407"/>
      <c r="C716" s="154"/>
      <c r="D716" s="447" t="s">
        <v>37</v>
      </c>
      <c r="E716" s="447"/>
      <c r="F716" s="447"/>
      <c r="G716" s="447"/>
      <c r="H716" s="447"/>
      <c r="I716" s="77">
        <f>SUM(I717:I719)</f>
        <v>81000</v>
      </c>
      <c r="J716" s="77">
        <f>SUM(J717:J719)</f>
        <v>0</v>
      </c>
      <c r="K716" s="77">
        <f>SUM(K717:K719)</f>
        <v>81000</v>
      </c>
      <c r="L716" s="80"/>
    </row>
    <row r="717" spans="1:12" s="82" customFormat="1" ht="12.75" customHeight="1">
      <c r="A717" s="407"/>
      <c r="C717" s="154"/>
      <c r="D717" s="446" t="s">
        <v>5</v>
      </c>
      <c r="E717" s="446"/>
      <c r="F717" s="446"/>
      <c r="G717" s="446"/>
      <c r="H717" s="446"/>
      <c r="I717" s="29">
        <v>81000</v>
      </c>
      <c r="J717" s="80"/>
      <c r="K717" s="80">
        <f>SUM(I717:J717)</f>
        <v>81000</v>
      </c>
      <c r="L717" s="80"/>
    </row>
    <row r="718" spans="1:12" s="82" customFormat="1" ht="13.5" customHeight="1" hidden="1">
      <c r="A718" s="407"/>
      <c r="C718" s="154"/>
      <c r="D718" s="446" t="s">
        <v>6</v>
      </c>
      <c r="E718" s="446"/>
      <c r="F718" s="446"/>
      <c r="G718" s="446"/>
      <c r="H718" s="446"/>
      <c r="I718" s="29"/>
      <c r="J718" s="80"/>
      <c r="K718" s="80">
        <f>SUM(I718:J718)</f>
        <v>0</v>
      </c>
      <c r="L718" s="80"/>
    </row>
    <row r="719" spans="1:12" s="82" customFormat="1" ht="13.5" customHeight="1" hidden="1">
      <c r="A719" s="407"/>
      <c r="C719" s="154"/>
      <c r="D719" s="446" t="s">
        <v>7</v>
      </c>
      <c r="E719" s="446"/>
      <c r="F719" s="446"/>
      <c r="G719" s="446"/>
      <c r="H719" s="446"/>
      <c r="I719" s="29"/>
      <c r="J719" s="80"/>
      <c r="K719" s="80">
        <f>SUM(I719:J719)</f>
        <v>0</v>
      </c>
      <c r="L719" s="80"/>
    </row>
    <row r="720" spans="1:12" s="82" customFormat="1" ht="12" customHeight="1">
      <c r="A720" s="407"/>
      <c r="C720" s="154"/>
      <c r="D720" s="447" t="s">
        <v>38</v>
      </c>
      <c r="E720" s="447"/>
      <c r="F720" s="447"/>
      <c r="G720" s="447"/>
      <c r="H720" s="447"/>
      <c r="I720" s="253">
        <f>SUM(I721:I726)</f>
        <v>81000</v>
      </c>
      <c r="J720" s="253">
        <f>SUM(J721:J726)</f>
        <v>0</v>
      </c>
      <c r="K720" s="253">
        <f>SUM(K721:K726)</f>
        <v>81000</v>
      </c>
      <c r="L720" s="80"/>
    </row>
    <row r="721" spans="1:12" s="82" customFormat="1" ht="13.5" customHeight="1" hidden="1">
      <c r="A721" s="407"/>
      <c r="C721" s="154"/>
      <c r="D721" s="446" t="s">
        <v>289</v>
      </c>
      <c r="E721" s="446"/>
      <c r="F721" s="446"/>
      <c r="G721" s="446"/>
      <c r="H721" s="446"/>
      <c r="I721" s="29"/>
      <c r="J721" s="80"/>
      <c r="K721" s="80">
        <f aca="true" t="shared" si="46" ref="K721:K726">SUM(I721:J721)</f>
        <v>0</v>
      </c>
      <c r="L721" s="80"/>
    </row>
    <row r="722" spans="1:12" s="82" customFormat="1" ht="12.75" customHeight="1">
      <c r="A722" s="407"/>
      <c r="C722" s="154"/>
      <c r="D722" s="444" t="s">
        <v>8</v>
      </c>
      <c r="E722" s="448"/>
      <c r="F722" s="448"/>
      <c r="G722" s="448"/>
      <c r="H722" s="448"/>
      <c r="I722" s="29">
        <v>81000</v>
      </c>
      <c r="J722" s="80"/>
      <c r="K722" s="80">
        <f t="shared" si="46"/>
        <v>81000</v>
      </c>
      <c r="L722" s="80"/>
    </row>
    <row r="723" spans="1:12" s="82" customFormat="1" ht="13.5" customHeight="1" hidden="1">
      <c r="A723" s="407"/>
      <c r="C723" s="154"/>
      <c r="D723" s="444" t="s">
        <v>10</v>
      </c>
      <c r="E723" s="444"/>
      <c r="F723" s="444"/>
      <c r="G723" s="444"/>
      <c r="H723" s="444"/>
      <c r="I723" s="29"/>
      <c r="J723" s="80"/>
      <c r="K723" s="80">
        <f t="shared" si="46"/>
        <v>0</v>
      </c>
      <c r="L723" s="80"/>
    </row>
    <row r="724" spans="1:12" s="82" customFormat="1" ht="13.5" customHeight="1" hidden="1">
      <c r="A724" s="407"/>
      <c r="C724" s="151"/>
      <c r="D724" s="444" t="s">
        <v>9</v>
      </c>
      <c r="E724" s="444"/>
      <c r="F724" s="444"/>
      <c r="G724" s="444"/>
      <c r="H724" s="444"/>
      <c r="I724" s="29"/>
      <c r="J724" s="80"/>
      <c r="K724" s="80">
        <f t="shared" si="46"/>
        <v>0</v>
      </c>
      <c r="L724" s="80"/>
    </row>
    <row r="725" spans="1:12" s="82" customFormat="1" ht="13.5" customHeight="1" hidden="1">
      <c r="A725" s="407"/>
      <c r="C725" s="149"/>
      <c r="D725" s="444" t="s">
        <v>11</v>
      </c>
      <c r="E725" s="444"/>
      <c r="F725" s="444"/>
      <c r="G725" s="444"/>
      <c r="H725" s="444"/>
      <c r="I725" s="29"/>
      <c r="J725" s="80"/>
      <c r="K725" s="80">
        <f t="shared" si="46"/>
        <v>0</v>
      </c>
      <c r="L725" s="80"/>
    </row>
    <row r="726" spans="1:12" s="82" customFormat="1" ht="13.5" customHeight="1" hidden="1">
      <c r="A726" s="407"/>
      <c r="C726" s="151"/>
      <c r="D726" s="444" t="s">
        <v>12</v>
      </c>
      <c r="E726" s="444"/>
      <c r="F726" s="444"/>
      <c r="G726" s="444"/>
      <c r="H726" s="444"/>
      <c r="I726" s="29"/>
      <c r="J726" s="80"/>
      <c r="K726" s="80">
        <f t="shared" si="46"/>
        <v>0</v>
      </c>
      <c r="L726" s="80"/>
    </row>
    <row r="727" spans="1:12" s="82" customFormat="1" ht="13.5" customHeight="1">
      <c r="A727" s="407"/>
      <c r="C727" s="151"/>
      <c r="D727" s="445" t="s">
        <v>277</v>
      </c>
      <c r="E727" s="445"/>
      <c r="F727" s="445"/>
      <c r="G727" s="445"/>
      <c r="H727" s="445"/>
      <c r="I727" s="77">
        <f>I716-I720</f>
        <v>0</v>
      </c>
      <c r="J727" s="77">
        <f>J716-J720</f>
        <v>0</v>
      </c>
      <c r="K727" s="77">
        <f>K716-K720</f>
        <v>0</v>
      </c>
      <c r="L727" s="80"/>
    </row>
    <row r="728" spans="1:12" s="82" customFormat="1" ht="13.5" customHeight="1">
      <c r="A728" s="407"/>
      <c r="C728" s="151"/>
      <c r="D728" s="444" t="s">
        <v>279</v>
      </c>
      <c r="E728" s="444"/>
      <c r="F728" s="444"/>
      <c r="G728" s="444"/>
      <c r="H728" s="444"/>
      <c r="I728" s="29">
        <f>I729+I730+I731</f>
        <v>0</v>
      </c>
      <c r="J728" s="29">
        <f>J729+J730+J731</f>
        <v>0</v>
      </c>
      <c r="K728" s="29">
        <f>K729+K730+K731</f>
        <v>0</v>
      </c>
      <c r="L728" s="80"/>
    </row>
    <row r="729" spans="1:12" s="82" customFormat="1" ht="13.5" customHeight="1" hidden="1">
      <c r="A729" s="407"/>
      <c r="C729" s="151"/>
      <c r="D729" s="444" t="s">
        <v>278</v>
      </c>
      <c r="E729" s="444"/>
      <c r="F729" s="444"/>
      <c r="G729" s="444"/>
      <c r="H729" s="444"/>
      <c r="I729" s="29"/>
      <c r="J729" s="77"/>
      <c r="K729" s="80">
        <f>SUM(I729:J729)</f>
        <v>0</v>
      </c>
      <c r="L729" s="80"/>
    </row>
    <row r="730" spans="1:12" s="82" customFormat="1" ht="13.5" customHeight="1" hidden="1">
      <c r="A730" s="407"/>
      <c r="C730" s="151"/>
      <c r="D730" s="444" t="s">
        <v>280</v>
      </c>
      <c r="E730" s="444"/>
      <c r="F730" s="444"/>
      <c r="G730" s="444"/>
      <c r="H730" s="444"/>
      <c r="I730" s="29"/>
      <c r="J730" s="77"/>
      <c r="K730" s="80">
        <f>SUM(I730:J730)</f>
        <v>0</v>
      </c>
      <c r="L730" s="80"/>
    </row>
    <row r="731" spans="1:12" s="82" customFormat="1" ht="13.5" customHeight="1" hidden="1">
      <c r="A731" s="407"/>
      <c r="C731" s="149"/>
      <c r="D731" s="444" t="s">
        <v>281</v>
      </c>
      <c r="E731" s="444"/>
      <c r="F731" s="444"/>
      <c r="G731" s="444"/>
      <c r="H731" s="444"/>
      <c r="I731" s="29"/>
      <c r="J731" s="77"/>
      <c r="K731" s="80">
        <f>SUM(I731:J731)</f>
        <v>0</v>
      </c>
      <c r="L731" s="80"/>
    </row>
    <row r="732" spans="1:12" s="82" customFormat="1" ht="10.5" customHeight="1">
      <c r="A732" s="407"/>
      <c r="C732" s="149"/>
      <c r="D732" s="85"/>
      <c r="E732" s="85"/>
      <c r="F732" s="85"/>
      <c r="G732" s="85"/>
      <c r="H732" s="85"/>
      <c r="I732" s="29"/>
      <c r="J732" s="77"/>
      <c r="K732" s="80"/>
      <c r="L732" s="80"/>
    </row>
    <row r="733" spans="1:12" s="82" customFormat="1" ht="13.5" customHeight="1" hidden="1">
      <c r="A733" s="407"/>
      <c r="C733" s="149"/>
      <c r="D733" s="85"/>
      <c r="E733" s="85"/>
      <c r="F733" s="85"/>
      <c r="G733" s="85"/>
      <c r="H733" s="85"/>
      <c r="I733" s="29"/>
      <c r="J733" s="77"/>
      <c r="K733" s="80"/>
      <c r="L733" s="80"/>
    </row>
    <row r="734" spans="1:12" s="82" customFormat="1" ht="13.5" customHeight="1">
      <c r="A734" s="407"/>
      <c r="C734" s="142" t="s">
        <v>299</v>
      </c>
      <c r="D734" s="454" t="s">
        <v>542</v>
      </c>
      <c r="E734" s="454"/>
      <c r="F734" s="454"/>
      <c r="G734" s="454"/>
      <c r="H734" s="454"/>
      <c r="I734" s="17"/>
      <c r="J734" s="127"/>
      <c r="K734" s="127"/>
      <c r="L734" s="80"/>
    </row>
    <row r="735" spans="1:12" s="82" customFormat="1" ht="13.5" customHeight="1">
      <c r="A735" s="407"/>
      <c r="C735" s="154"/>
      <c r="D735" s="447" t="s">
        <v>37</v>
      </c>
      <c r="E735" s="447"/>
      <c r="F735" s="447"/>
      <c r="G735" s="447"/>
      <c r="H735" s="447"/>
      <c r="I735" s="77">
        <f>SUM(I736:I738)</f>
        <v>654437</v>
      </c>
      <c r="J735" s="77">
        <f>SUM(J736:J738)</f>
        <v>0</v>
      </c>
      <c r="K735" s="77">
        <f>SUM(K736:K738)</f>
        <v>654437</v>
      </c>
      <c r="L735" s="80"/>
    </row>
    <row r="736" spans="1:12" s="82" customFormat="1" ht="13.5" customHeight="1" hidden="1">
      <c r="A736" s="407"/>
      <c r="C736" s="154"/>
      <c r="D736" s="446" t="s">
        <v>5</v>
      </c>
      <c r="E736" s="446"/>
      <c r="F736" s="446"/>
      <c r="G736" s="446"/>
      <c r="H736" s="446"/>
      <c r="I736" s="29"/>
      <c r="J736" s="80"/>
      <c r="K736" s="80">
        <f>SUM(I736:J736)</f>
        <v>0</v>
      </c>
      <c r="L736" s="80"/>
    </row>
    <row r="737" spans="1:12" s="82" customFormat="1" ht="13.5" customHeight="1" hidden="1">
      <c r="A737" s="407"/>
      <c r="C737" s="154"/>
      <c r="D737" s="446" t="s">
        <v>6</v>
      </c>
      <c r="E737" s="446"/>
      <c r="F737" s="446"/>
      <c r="G737" s="446"/>
      <c r="H737" s="446"/>
      <c r="I737" s="29"/>
      <c r="J737" s="80"/>
      <c r="K737" s="80">
        <f>SUM(I737:J737)</f>
        <v>0</v>
      </c>
      <c r="L737" s="80"/>
    </row>
    <row r="738" spans="1:12" s="82" customFormat="1" ht="13.5" customHeight="1">
      <c r="A738" s="407"/>
      <c r="C738" s="154"/>
      <c r="D738" s="446" t="s">
        <v>7</v>
      </c>
      <c r="E738" s="446"/>
      <c r="F738" s="446"/>
      <c r="G738" s="446"/>
      <c r="H738" s="446"/>
      <c r="I738" s="29">
        <f>652662+1775</f>
        <v>654437</v>
      </c>
      <c r="J738" s="80"/>
      <c r="K738" s="80">
        <f>SUM(I738:J738)</f>
        <v>654437</v>
      </c>
      <c r="L738" s="80"/>
    </row>
    <row r="739" spans="1:12" s="82" customFormat="1" ht="12.75" customHeight="1">
      <c r="A739" s="407"/>
      <c r="C739" s="154"/>
      <c r="D739" s="447" t="s">
        <v>38</v>
      </c>
      <c r="E739" s="447"/>
      <c r="F739" s="447"/>
      <c r="G739" s="447"/>
      <c r="H739" s="447"/>
      <c r="I739" s="253">
        <f>SUM(I740:I745)</f>
        <v>1191278</v>
      </c>
      <c r="J739" s="253">
        <f>SUM(J740:J745)</f>
        <v>0</v>
      </c>
      <c r="K739" s="253">
        <f>SUM(K740:K745)</f>
        <v>1191278</v>
      </c>
      <c r="L739" s="80"/>
    </row>
    <row r="740" spans="1:12" s="82" customFormat="1" ht="13.5" customHeight="1" hidden="1">
      <c r="A740" s="407"/>
      <c r="C740" s="154"/>
      <c r="D740" s="446" t="s">
        <v>289</v>
      </c>
      <c r="E740" s="446"/>
      <c r="F740" s="446"/>
      <c r="G740" s="446"/>
      <c r="H740" s="446"/>
      <c r="I740" s="29"/>
      <c r="J740" s="80"/>
      <c r="K740" s="80">
        <f aca="true" t="shared" si="47" ref="K740:K745">SUM(I740:J740)</f>
        <v>0</v>
      </c>
      <c r="L740" s="80"/>
    </row>
    <row r="741" spans="1:12" s="82" customFormat="1" ht="13.5" customHeight="1" hidden="1">
      <c r="A741" s="407"/>
      <c r="C741" s="154"/>
      <c r="D741" s="444" t="s">
        <v>8</v>
      </c>
      <c r="E741" s="448"/>
      <c r="F741" s="448"/>
      <c r="G741" s="448"/>
      <c r="H741" s="448"/>
      <c r="I741" s="29"/>
      <c r="J741" s="80"/>
      <c r="K741" s="80">
        <f t="shared" si="47"/>
        <v>0</v>
      </c>
      <c r="L741" s="80"/>
    </row>
    <row r="742" spans="1:12" s="82" customFormat="1" ht="13.5" customHeight="1" hidden="1">
      <c r="A742" s="407"/>
      <c r="C742" s="154"/>
      <c r="D742" s="444" t="s">
        <v>10</v>
      </c>
      <c r="E742" s="444"/>
      <c r="F742" s="444"/>
      <c r="G742" s="444"/>
      <c r="H742" s="444"/>
      <c r="I742" s="29"/>
      <c r="J742" s="80"/>
      <c r="K742" s="80">
        <f t="shared" si="47"/>
        <v>0</v>
      </c>
      <c r="L742" s="80"/>
    </row>
    <row r="743" spans="1:12" s="82" customFormat="1" ht="13.5" customHeight="1" hidden="1">
      <c r="A743" s="407"/>
      <c r="C743" s="151"/>
      <c r="D743" s="444" t="s">
        <v>9</v>
      </c>
      <c r="E743" s="444"/>
      <c r="F743" s="444"/>
      <c r="G743" s="444"/>
      <c r="H743" s="444"/>
      <c r="I743" s="29"/>
      <c r="J743" s="80"/>
      <c r="K743" s="80">
        <f t="shared" si="47"/>
        <v>0</v>
      </c>
      <c r="L743" s="80"/>
    </row>
    <row r="744" spans="1:12" s="82" customFormat="1" ht="13.5" customHeight="1">
      <c r="A744" s="407"/>
      <c r="C744" s="149"/>
      <c r="D744" s="444" t="s">
        <v>11</v>
      </c>
      <c r="E744" s="444"/>
      <c r="F744" s="444"/>
      <c r="G744" s="444"/>
      <c r="H744" s="444"/>
      <c r="I744" s="29">
        <f>935639+255639</f>
        <v>1191278</v>
      </c>
      <c r="J744" s="80"/>
      <c r="K744" s="80">
        <f t="shared" si="47"/>
        <v>1191278</v>
      </c>
      <c r="L744" s="80"/>
    </row>
    <row r="745" spans="1:12" s="82" customFormat="1" ht="13.5" customHeight="1" hidden="1">
      <c r="A745" s="407"/>
      <c r="C745" s="151"/>
      <c r="D745" s="444" t="s">
        <v>12</v>
      </c>
      <c r="E745" s="444"/>
      <c r="F745" s="444"/>
      <c r="G745" s="444"/>
      <c r="H745" s="444"/>
      <c r="I745" s="29"/>
      <c r="J745" s="80"/>
      <c r="K745" s="80">
        <f t="shared" si="47"/>
        <v>0</v>
      </c>
      <c r="L745" s="80"/>
    </row>
    <row r="746" spans="1:12" s="82" customFormat="1" ht="13.5" customHeight="1">
      <c r="A746" s="407"/>
      <c r="C746" s="151"/>
      <c r="D746" s="445" t="s">
        <v>277</v>
      </c>
      <c r="E746" s="445"/>
      <c r="F746" s="445"/>
      <c r="G746" s="445"/>
      <c r="H746" s="445"/>
      <c r="I746" s="77">
        <f>I735-I739</f>
        <v>-536841</v>
      </c>
      <c r="J746" s="77">
        <f>J735-J739</f>
        <v>0</v>
      </c>
      <c r="K746" s="77">
        <f>K735-K739</f>
        <v>-536841</v>
      </c>
      <c r="L746" s="80"/>
    </row>
    <row r="747" spans="1:12" s="82" customFormat="1" ht="13.5" customHeight="1">
      <c r="A747" s="407"/>
      <c r="C747" s="151"/>
      <c r="D747" s="444" t="s">
        <v>279</v>
      </c>
      <c r="E747" s="444"/>
      <c r="F747" s="444"/>
      <c r="G747" s="444"/>
      <c r="H747" s="444"/>
      <c r="I747" s="29">
        <f>I748+I749+I750</f>
        <v>536841</v>
      </c>
      <c r="J747" s="29">
        <f>J748+J749+J750</f>
        <v>0</v>
      </c>
      <c r="K747" s="29">
        <f>K748+K749+K750</f>
        <v>536841</v>
      </c>
      <c r="L747" s="80"/>
    </row>
    <row r="748" spans="1:12" s="82" customFormat="1" ht="12.75" customHeight="1">
      <c r="A748" s="407"/>
      <c r="C748" s="151"/>
      <c r="D748" s="444" t="s">
        <v>278</v>
      </c>
      <c r="E748" s="444"/>
      <c r="F748" s="444"/>
      <c r="G748" s="444"/>
      <c r="H748" s="444"/>
      <c r="I748" s="29">
        <v>282977</v>
      </c>
      <c r="J748" s="77"/>
      <c r="K748" s="80">
        <f>SUM(I748:J748)</f>
        <v>282977</v>
      </c>
      <c r="L748" s="80"/>
    </row>
    <row r="749" spans="1:12" s="82" customFormat="1" ht="12.75" customHeight="1">
      <c r="A749" s="407"/>
      <c r="C749" s="151"/>
      <c r="D749" s="444" t="s">
        <v>280</v>
      </c>
      <c r="E749" s="444"/>
      <c r="F749" s="444"/>
      <c r="G749" s="444"/>
      <c r="H749" s="444"/>
      <c r="I749" s="29">
        <f>253864</f>
        <v>253864</v>
      </c>
      <c r="J749" s="29"/>
      <c r="K749" s="80">
        <f>SUM(I749:J749)</f>
        <v>253864</v>
      </c>
      <c r="L749" s="80"/>
    </row>
    <row r="750" spans="1:12" s="82" customFormat="1" ht="12.75" customHeight="1">
      <c r="A750" s="407"/>
      <c r="C750" s="149"/>
      <c r="D750" s="444" t="s">
        <v>281</v>
      </c>
      <c r="E750" s="444"/>
      <c r="F750" s="444"/>
      <c r="G750" s="444"/>
      <c r="H750" s="444"/>
      <c r="I750" s="29"/>
      <c r="J750" s="77"/>
      <c r="K750" s="80">
        <f>SUM(I750:J750)</f>
        <v>0</v>
      </c>
      <c r="L750" s="80"/>
    </row>
    <row r="751" spans="1:12" s="82" customFormat="1" ht="4.5" customHeight="1">
      <c r="A751" s="407"/>
      <c r="C751" s="149"/>
      <c r="D751" s="85"/>
      <c r="E751" s="85"/>
      <c r="F751" s="85"/>
      <c r="G751" s="85"/>
      <c r="H751" s="85"/>
      <c r="I751" s="29"/>
      <c r="J751" s="77"/>
      <c r="K751" s="80"/>
      <c r="L751" s="80"/>
    </row>
    <row r="752" spans="1:13" s="6" customFormat="1" ht="13.5" customHeight="1">
      <c r="A752" s="409">
        <f>'2.pielikums'!J49-'3.pielik.'!K752</f>
        <v>0</v>
      </c>
      <c r="C752" s="150" t="s">
        <v>51</v>
      </c>
      <c r="D752" s="437" t="s">
        <v>96</v>
      </c>
      <c r="E752" s="437"/>
      <c r="F752" s="437"/>
      <c r="G752" s="437"/>
      <c r="H752" s="437"/>
      <c r="I752" s="134">
        <f>I759+I887+I906+I925+I998+I1036+I1017+I980+I814+I943+I961</f>
        <v>3232555</v>
      </c>
      <c r="J752" s="134">
        <f>J759+J887+J906+J925+J998+J1036+J1017+J980+J814+J943+J961</f>
        <v>26459</v>
      </c>
      <c r="K752" s="134">
        <f>K759+K887+K906+K925+K998+K1036+K1017+K980+K814+K943+K961</f>
        <v>3259014</v>
      </c>
      <c r="L752" s="93"/>
      <c r="M752" s="91"/>
    </row>
    <row r="753" spans="1:13" s="15" customFormat="1" ht="3.75" customHeight="1">
      <c r="A753" s="407"/>
      <c r="C753" s="151"/>
      <c r="D753" s="16"/>
      <c r="E753" s="16"/>
      <c r="F753" s="16"/>
      <c r="G753" s="16"/>
      <c r="H753" s="16"/>
      <c r="I753" s="77"/>
      <c r="J753" s="78"/>
      <c r="K753" s="78"/>
      <c r="L753" s="127"/>
      <c r="M753" s="95"/>
    </row>
    <row r="754" spans="1:13" s="15" customFormat="1" ht="13.5" customHeight="1">
      <c r="A754" s="407"/>
      <c r="C754" s="142" t="s">
        <v>51</v>
      </c>
      <c r="D754" s="450" t="s">
        <v>57</v>
      </c>
      <c r="E754" s="450"/>
      <c r="F754" s="450"/>
      <c r="G754" s="450"/>
      <c r="H754" s="450"/>
      <c r="I754" s="17"/>
      <c r="J754" s="126"/>
      <c r="K754" s="126"/>
      <c r="L754" s="127"/>
      <c r="M754" s="95"/>
    </row>
    <row r="755" spans="1:13" s="15" customFormat="1" ht="13.5" customHeight="1">
      <c r="A755" s="407"/>
      <c r="C755" s="154"/>
      <c r="D755" s="447" t="s">
        <v>37</v>
      </c>
      <c r="E755" s="447"/>
      <c r="F755" s="447"/>
      <c r="G755" s="447"/>
      <c r="H755" s="447"/>
      <c r="I755" s="77">
        <f>SUM(I756:I758)</f>
        <v>359260</v>
      </c>
      <c r="J755" s="77">
        <f>SUM(J756:J758)</f>
        <v>0</v>
      </c>
      <c r="K755" s="77">
        <f>SUM(K756:K758)</f>
        <v>359260</v>
      </c>
      <c r="L755" s="127"/>
      <c r="M755" s="95"/>
    </row>
    <row r="756" spans="1:13" s="15" customFormat="1" ht="13.5" customHeight="1">
      <c r="A756" s="407"/>
      <c r="C756" s="154"/>
      <c r="D756" s="446" t="s">
        <v>5</v>
      </c>
      <c r="E756" s="446"/>
      <c r="F756" s="446"/>
      <c r="G756" s="446"/>
      <c r="H756" s="446"/>
      <c r="I756" s="29">
        <f aca="true" t="shared" si="48" ref="I756:K758">I774+I792</f>
        <v>359260</v>
      </c>
      <c r="J756" s="29">
        <f t="shared" si="48"/>
        <v>0</v>
      </c>
      <c r="K756" s="29">
        <f t="shared" si="48"/>
        <v>359260</v>
      </c>
      <c r="L756" s="127"/>
      <c r="M756" s="95"/>
    </row>
    <row r="757" spans="1:13" s="15" customFormat="1" ht="13.5" customHeight="1" hidden="1">
      <c r="A757" s="407"/>
      <c r="C757" s="154"/>
      <c r="D757" s="446" t="s">
        <v>6</v>
      </c>
      <c r="E757" s="446"/>
      <c r="F757" s="446"/>
      <c r="G757" s="446"/>
      <c r="H757" s="446"/>
      <c r="I757" s="29">
        <f t="shared" si="48"/>
        <v>0</v>
      </c>
      <c r="J757" s="29">
        <f t="shared" si="48"/>
        <v>0</v>
      </c>
      <c r="K757" s="29">
        <f t="shared" si="48"/>
        <v>0</v>
      </c>
      <c r="L757" s="127"/>
      <c r="M757" s="95"/>
    </row>
    <row r="758" spans="1:13" s="15" customFormat="1" ht="13.5" customHeight="1" hidden="1">
      <c r="A758" s="407"/>
      <c r="C758" s="154"/>
      <c r="D758" s="446" t="s">
        <v>7</v>
      </c>
      <c r="E758" s="446"/>
      <c r="F758" s="446"/>
      <c r="G758" s="446"/>
      <c r="H758" s="446"/>
      <c r="I758" s="29">
        <f t="shared" si="48"/>
        <v>0</v>
      </c>
      <c r="J758" s="29">
        <f t="shared" si="48"/>
        <v>0</v>
      </c>
      <c r="K758" s="29">
        <f t="shared" si="48"/>
        <v>0</v>
      </c>
      <c r="L758" s="127"/>
      <c r="M758" s="95"/>
    </row>
    <row r="759" spans="1:13" s="15" customFormat="1" ht="12.75" customHeight="1">
      <c r="A759" s="407"/>
      <c r="C759" s="154"/>
      <c r="D759" s="447" t="s">
        <v>38</v>
      </c>
      <c r="E759" s="447"/>
      <c r="F759" s="447"/>
      <c r="G759" s="447"/>
      <c r="H759" s="447"/>
      <c r="I759" s="253">
        <f>SUM(I760:I765)</f>
        <v>359260</v>
      </c>
      <c r="J759" s="253">
        <f>SUM(J760:J765)</f>
        <v>0</v>
      </c>
      <c r="K759" s="253">
        <f>SUM(K760:K765)</f>
        <v>359260</v>
      </c>
      <c r="L759" s="127"/>
      <c r="M759" s="95"/>
    </row>
    <row r="760" spans="1:13" s="15" customFormat="1" ht="13.5" customHeight="1" hidden="1">
      <c r="A760" s="407"/>
      <c r="C760" s="154"/>
      <c r="D760" s="446" t="s">
        <v>289</v>
      </c>
      <c r="E760" s="446"/>
      <c r="F760" s="446"/>
      <c r="G760" s="446"/>
      <c r="H760" s="446"/>
      <c r="I760" s="29">
        <f aca="true" t="shared" si="49" ref="I760:K765">I778+I796</f>
        <v>0</v>
      </c>
      <c r="J760" s="29">
        <f t="shared" si="49"/>
        <v>0</v>
      </c>
      <c r="K760" s="29">
        <f t="shared" si="49"/>
        <v>0</v>
      </c>
      <c r="L760" s="127"/>
      <c r="M760" s="95"/>
    </row>
    <row r="761" spans="1:13" s="15" customFormat="1" ht="13.5" customHeight="1">
      <c r="A761" s="407"/>
      <c r="C761" s="154"/>
      <c r="D761" s="444" t="s">
        <v>8</v>
      </c>
      <c r="E761" s="448"/>
      <c r="F761" s="448"/>
      <c r="G761" s="448"/>
      <c r="H761" s="448"/>
      <c r="I761" s="29">
        <f t="shared" si="49"/>
        <v>288090</v>
      </c>
      <c r="J761" s="29">
        <f t="shared" si="49"/>
        <v>0</v>
      </c>
      <c r="K761" s="29">
        <f t="shared" si="49"/>
        <v>288090</v>
      </c>
      <c r="L761" s="127"/>
      <c r="M761" s="95"/>
    </row>
    <row r="762" spans="1:13" s="15" customFormat="1" ht="12.75" customHeight="1">
      <c r="A762" s="407"/>
      <c r="C762" s="154"/>
      <c r="D762" s="444" t="s">
        <v>10</v>
      </c>
      <c r="E762" s="444"/>
      <c r="F762" s="444"/>
      <c r="G762" s="444"/>
      <c r="H762" s="444"/>
      <c r="I762" s="29">
        <f t="shared" si="49"/>
        <v>31466</v>
      </c>
      <c r="J762" s="29">
        <f t="shared" si="49"/>
        <v>0</v>
      </c>
      <c r="K762" s="29">
        <f t="shared" si="49"/>
        <v>31466</v>
      </c>
      <c r="L762" s="127"/>
      <c r="M762" s="95"/>
    </row>
    <row r="763" spans="1:13" s="15" customFormat="1" ht="13.5" customHeight="1" hidden="1">
      <c r="A763" s="407"/>
      <c r="C763" s="154"/>
      <c r="D763" s="444" t="s">
        <v>9</v>
      </c>
      <c r="E763" s="444"/>
      <c r="F763" s="444"/>
      <c r="G763" s="444"/>
      <c r="H763" s="444"/>
      <c r="I763" s="29">
        <f t="shared" si="49"/>
        <v>0</v>
      </c>
      <c r="J763" s="29">
        <f t="shared" si="49"/>
        <v>0</v>
      </c>
      <c r="K763" s="29">
        <f t="shared" si="49"/>
        <v>0</v>
      </c>
      <c r="L763" s="127"/>
      <c r="M763" s="95"/>
    </row>
    <row r="764" spans="1:13" s="15" customFormat="1" ht="13.5" customHeight="1">
      <c r="A764" s="407"/>
      <c r="C764" s="154"/>
      <c r="D764" s="444" t="s">
        <v>11</v>
      </c>
      <c r="E764" s="444"/>
      <c r="F764" s="444"/>
      <c r="G764" s="444"/>
      <c r="H764" s="444"/>
      <c r="I764" s="29">
        <f t="shared" si="49"/>
        <v>39704</v>
      </c>
      <c r="J764" s="29">
        <f t="shared" si="49"/>
        <v>0</v>
      </c>
      <c r="K764" s="29">
        <f t="shared" si="49"/>
        <v>39704</v>
      </c>
      <c r="L764" s="127"/>
      <c r="M764" s="95"/>
    </row>
    <row r="765" spans="1:13" s="15" customFormat="1" ht="13.5" customHeight="1" hidden="1">
      <c r="A765" s="407"/>
      <c r="C765" s="154"/>
      <c r="D765" s="444" t="s">
        <v>12</v>
      </c>
      <c r="E765" s="444"/>
      <c r="F765" s="444"/>
      <c r="G765" s="444"/>
      <c r="H765" s="444"/>
      <c r="I765" s="29">
        <f t="shared" si="49"/>
        <v>0</v>
      </c>
      <c r="J765" s="29">
        <f t="shared" si="49"/>
        <v>0</v>
      </c>
      <c r="K765" s="29">
        <f t="shared" si="49"/>
        <v>0</v>
      </c>
      <c r="L765" s="127"/>
      <c r="M765" s="95"/>
    </row>
    <row r="766" spans="1:13" s="15" customFormat="1" ht="13.5" customHeight="1">
      <c r="A766" s="407"/>
      <c r="C766" s="154"/>
      <c r="D766" s="445" t="s">
        <v>277</v>
      </c>
      <c r="E766" s="445"/>
      <c r="F766" s="445"/>
      <c r="G766" s="445"/>
      <c r="H766" s="445"/>
      <c r="I766" s="77">
        <f>I755-I759</f>
        <v>0</v>
      </c>
      <c r="J766" s="77">
        <f>J755-J759</f>
        <v>0</v>
      </c>
      <c r="K766" s="77">
        <f>K755-K759</f>
        <v>0</v>
      </c>
      <c r="L766" s="127"/>
      <c r="M766" s="95"/>
    </row>
    <row r="767" spans="1:13" s="15" customFormat="1" ht="13.5" customHeight="1">
      <c r="A767" s="407"/>
      <c r="C767" s="154"/>
      <c r="D767" s="444" t="s">
        <v>279</v>
      </c>
      <c r="E767" s="444"/>
      <c r="F767" s="444"/>
      <c r="G767" s="444"/>
      <c r="H767" s="444"/>
      <c r="I767" s="29">
        <f>I768+I769+I770</f>
        <v>0</v>
      </c>
      <c r="J767" s="29">
        <f>J768+J769+J770</f>
        <v>0</v>
      </c>
      <c r="K767" s="29">
        <f>K768+K769+K770</f>
        <v>0</v>
      </c>
      <c r="L767" s="127"/>
      <c r="M767" s="95"/>
    </row>
    <row r="768" spans="1:13" s="15" customFormat="1" ht="13.5" customHeight="1" hidden="1">
      <c r="A768" s="407"/>
      <c r="C768" s="154"/>
      <c r="D768" s="444" t="s">
        <v>278</v>
      </c>
      <c r="E768" s="444"/>
      <c r="F768" s="444"/>
      <c r="G768" s="444"/>
      <c r="H768" s="444"/>
      <c r="I768" s="29">
        <f aca="true" t="shared" si="50" ref="I768:K770">I786+I804</f>
        <v>0</v>
      </c>
      <c r="J768" s="29">
        <f t="shared" si="50"/>
        <v>0</v>
      </c>
      <c r="K768" s="29">
        <f t="shared" si="50"/>
        <v>0</v>
      </c>
      <c r="L768" s="127"/>
      <c r="M768" s="95"/>
    </row>
    <row r="769" spans="1:13" s="15" customFormat="1" ht="13.5" customHeight="1" hidden="1">
      <c r="A769" s="407"/>
      <c r="C769" s="154"/>
      <c r="D769" s="444" t="s">
        <v>280</v>
      </c>
      <c r="E769" s="444"/>
      <c r="F769" s="444"/>
      <c r="G769" s="444"/>
      <c r="H769" s="444"/>
      <c r="I769" s="29">
        <f t="shared" si="50"/>
        <v>0</v>
      </c>
      <c r="J769" s="29">
        <f t="shared" si="50"/>
        <v>0</v>
      </c>
      <c r="K769" s="29">
        <f t="shared" si="50"/>
        <v>0</v>
      </c>
      <c r="L769" s="127"/>
      <c r="M769" s="95"/>
    </row>
    <row r="770" spans="1:13" s="15" customFormat="1" ht="13.5" customHeight="1" hidden="1">
      <c r="A770" s="407"/>
      <c r="C770" s="154"/>
      <c r="D770" s="444" t="s">
        <v>281</v>
      </c>
      <c r="E770" s="444"/>
      <c r="F770" s="444"/>
      <c r="G770" s="444"/>
      <c r="H770" s="444"/>
      <c r="I770" s="29">
        <f t="shared" si="50"/>
        <v>0</v>
      </c>
      <c r="J770" s="29">
        <f t="shared" si="50"/>
        <v>0</v>
      </c>
      <c r="K770" s="29">
        <f t="shared" si="50"/>
        <v>0</v>
      </c>
      <c r="L770" s="127"/>
      <c r="M770" s="95"/>
    </row>
    <row r="771" spans="1:13" s="15" customFormat="1" ht="10.5" customHeight="1">
      <c r="A771" s="407"/>
      <c r="C771" s="154"/>
      <c r="D771" s="85"/>
      <c r="E771" s="85"/>
      <c r="F771" s="85"/>
      <c r="G771" s="85"/>
      <c r="H771" s="85"/>
      <c r="I771" s="29"/>
      <c r="J771" s="29"/>
      <c r="K771" s="29"/>
      <c r="L771" s="127"/>
      <c r="M771" s="95"/>
    </row>
    <row r="772" spans="1:12" s="95" customFormat="1" ht="13.5" customHeight="1">
      <c r="A772" s="407"/>
      <c r="C772" s="153" t="s">
        <v>98</v>
      </c>
      <c r="D772" s="449" t="s">
        <v>58</v>
      </c>
      <c r="E772" s="449"/>
      <c r="F772" s="449"/>
      <c r="G772" s="449"/>
      <c r="H772" s="449"/>
      <c r="I772" s="129"/>
      <c r="J772" s="127"/>
      <c r="K772" s="129"/>
      <c r="L772" s="127"/>
    </row>
    <row r="773" spans="1:12" s="82" customFormat="1" ht="13.5" customHeight="1">
      <c r="A773" s="407"/>
      <c r="C773" s="149"/>
      <c r="D773" s="447" t="s">
        <v>37</v>
      </c>
      <c r="E773" s="447"/>
      <c r="F773" s="447"/>
      <c r="G773" s="447"/>
      <c r="H773" s="447"/>
      <c r="I773" s="77">
        <f>SUM(I774:I776)</f>
        <v>243537</v>
      </c>
      <c r="J773" s="77">
        <f>SUM(J774:J776)</f>
        <v>0</v>
      </c>
      <c r="K773" s="77">
        <f>SUM(K774:K776)</f>
        <v>243537</v>
      </c>
      <c r="L773" s="80"/>
    </row>
    <row r="774" spans="1:12" s="82" customFormat="1" ht="12" customHeight="1">
      <c r="A774" s="407"/>
      <c r="C774" s="149"/>
      <c r="D774" s="446" t="s">
        <v>5</v>
      </c>
      <c r="E774" s="446"/>
      <c r="F774" s="446"/>
      <c r="G774" s="446"/>
      <c r="H774" s="446"/>
      <c r="I774" s="29">
        <f>579463-335926</f>
        <v>243537</v>
      </c>
      <c r="J774" s="80"/>
      <c r="K774" s="29">
        <f>SUM(I774:J774)</f>
        <v>243537</v>
      </c>
      <c r="L774" s="80"/>
    </row>
    <row r="775" spans="1:12" s="82" customFormat="1" ht="13.5" customHeight="1" hidden="1">
      <c r="A775" s="407"/>
      <c r="C775" s="149"/>
      <c r="D775" s="446" t="s">
        <v>6</v>
      </c>
      <c r="E775" s="446"/>
      <c r="F775" s="446"/>
      <c r="G775" s="446"/>
      <c r="H775" s="446"/>
      <c r="I775" s="29"/>
      <c r="J775" s="80"/>
      <c r="K775" s="29">
        <f>SUM(I775:J775)</f>
        <v>0</v>
      </c>
      <c r="L775" s="80"/>
    </row>
    <row r="776" spans="1:12" s="82" customFormat="1" ht="13.5" customHeight="1" hidden="1">
      <c r="A776" s="407"/>
      <c r="C776" s="149"/>
      <c r="D776" s="446" t="s">
        <v>7</v>
      </c>
      <c r="E776" s="446"/>
      <c r="F776" s="446"/>
      <c r="G776" s="446"/>
      <c r="H776" s="446"/>
      <c r="I776" s="29"/>
      <c r="J776" s="80"/>
      <c r="K776" s="29">
        <f>SUM(I776:J776)</f>
        <v>0</v>
      </c>
      <c r="L776" s="80"/>
    </row>
    <row r="777" spans="1:12" s="82" customFormat="1" ht="12.75" customHeight="1">
      <c r="A777" s="407"/>
      <c r="C777" s="149"/>
      <c r="D777" s="447" t="s">
        <v>38</v>
      </c>
      <c r="E777" s="447"/>
      <c r="F777" s="447"/>
      <c r="G777" s="447"/>
      <c r="H777" s="447"/>
      <c r="I777" s="254">
        <f>SUM(I778:I783)</f>
        <v>243537</v>
      </c>
      <c r="J777" s="254">
        <f>SUM(J778:J783)</f>
        <v>0</v>
      </c>
      <c r="K777" s="254">
        <f>SUM(K778:K783)</f>
        <v>243537</v>
      </c>
      <c r="L777" s="80"/>
    </row>
    <row r="778" spans="1:12" s="82" customFormat="1" ht="13.5" customHeight="1" hidden="1">
      <c r="A778" s="407"/>
      <c r="C778" s="149"/>
      <c r="D778" s="446" t="s">
        <v>289</v>
      </c>
      <c r="E778" s="446"/>
      <c r="F778" s="446"/>
      <c r="G778" s="446"/>
      <c r="H778" s="446"/>
      <c r="I778" s="29"/>
      <c r="J778" s="80"/>
      <c r="K778" s="29">
        <f aca="true" t="shared" si="51" ref="K778:K783">SUM(I778:J778)</f>
        <v>0</v>
      </c>
      <c r="L778" s="80"/>
    </row>
    <row r="779" spans="1:12" s="82" customFormat="1" ht="12.75" customHeight="1">
      <c r="A779" s="407"/>
      <c r="C779" s="149"/>
      <c r="D779" s="444" t="s">
        <v>8</v>
      </c>
      <c r="E779" s="448"/>
      <c r="F779" s="448"/>
      <c r="G779" s="448"/>
      <c r="H779" s="448"/>
      <c r="I779" s="29">
        <f>539759-335926</f>
        <v>203833</v>
      </c>
      <c r="J779" s="80"/>
      <c r="K779" s="29">
        <f t="shared" si="51"/>
        <v>203833</v>
      </c>
      <c r="L779" s="80"/>
    </row>
    <row r="780" spans="1:12" s="82" customFormat="1" ht="1.5" customHeight="1" hidden="1">
      <c r="A780" s="407"/>
      <c r="C780" s="149"/>
      <c r="D780" s="444" t="s">
        <v>10</v>
      </c>
      <c r="E780" s="444"/>
      <c r="F780" s="444"/>
      <c r="G780" s="444"/>
      <c r="H780" s="444"/>
      <c r="I780" s="29"/>
      <c r="J780" s="80"/>
      <c r="K780" s="29">
        <f t="shared" si="51"/>
        <v>0</v>
      </c>
      <c r="L780" s="80"/>
    </row>
    <row r="781" spans="1:12" s="82" customFormat="1" ht="13.5" customHeight="1" hidden="1">
      <c r="A781" s="407"/>
      <c r="C781" s="149"/>
      <c r="D781" s="444" t="s">
        <v>9</v>
      </c>
      <c r="E781" s="444"/>
      <c r="F781" s="444"/>
      <c r="G781" s="444"/>
      <c r="H781" s="444"/>
      <c r="I781" s="29"/>
      <c r="J781" s="80"/>
      <c r="K781" s="29">
        <f t="shared" si="51"/>
        <v>0</v>
      </c>
      <c r="L781" s="80"/>
    </row>
    <row r="782" spans="1:12" s="82" customFormat="1" ht="13.5" customHeight="1">
      <c r="A782" s="407"/>
      <c r="C782" s="149"/>
      <c r="D782" s="444" t="s">
        <v>11</v>
      </c>
      <c r="E782" s="444"/>
      <c r="F782" s="444"/>
      <c r="G782" s="444"/>
      <c r="H782" s="444"/>
      <c r="I782" s="29">
        <v>39704</v>
      </c>
      <c r="J782" s="80"/>
      <c r="K782" s="29">
        <f t="shared" si="51"/>
        <v>39704</v>
      </c>
      <c r="L782" s="80"/>
    </row>
    <row r="783" spans="1:13" s="79" customFormat="1" ht="13.5" customHeight="1" hidden="1">
      <c r="A783" s="407"/>
      <c r="C783" s="151"/>
      <c r="D783" s="444" t="s">
        <v>12</v>
      </c>
      <c r="E783" s="444"/>
      <c r="F783" s="444"/>
      <c r="G783" s="444"/>
      <c r="H783" s="444"/>
      <c r="I783" s="29"/>
      <c r="J783" s="77"/>
      <c r="K783" s="29">
        <f t="shared" si="51"/>
        <v>0</v>
      </c>
      <c r="L783" s="80"/>
      <c r="M783" s="82"/>
    </row>
    <row r="784" spans="1:13" s="79" customFormat="1" ht="13.5" customHeight="1">
      <c r="A784" s="407"/>
      <c r="C784" s="151"/>
      <c r="D784" s="445" t="s">
        <v>277</v>
      </c>
      <c r="E784" s="445"/>
      <c r="F784" s="445"/>
      <c r="G784" s="445"/>
      <c r="H784" s="445"/>
      <c r="I784" s="77">
        <f>I773-I777</f>
        <v>0</v>
      </c>
      <c r="J784" s="77">
        <f>J773-J777</f>
        <v>0</v>
      </c>
      <c r="K784" s="77">
        <f>K773-K777</f>
        <v>0</v>
      </c>
      <c r="L784" s="80"/>
      <c r="M784" s="82"/>
    </row>
    <row r="785" spans="1:13" s="79" customFormat="1" ht="13.5" customHeight="1">
      <c r="A785" s="407"/>
      <c r="C785" s="151"/>
      <c r="D785" s="444" t="s">
        <v>279</v>
      </c>
      <c r="E785" s="444"/>
      <c r="F785" s="444"/>
      <c r="G785" s="444"/>
      <c r="H785" s="444"/>
      <c r="I785" s="29">
        <f>I786+I787+I788</f>
        <v>0</v>
      </c>
      <c r="J785" s="29">
        <f>J786+J787+J788</f>
        <v>0</v>
      </c>
      <c r="K785" s="29">
        <f>K786+K787+K788</f>
        <v>0</v>
      </c>
      <c r="L785" s="80"/>
      <c r="M785" s="82"/>
    </row>
    <row r="786" spans="1:13" s="79" customFormat="1" ht="13.5" customHeight="1" hidden="1">
      <c r="A786" s="407"/>
      <c r="C786" s="151"/>
      <c r="D786" s="444" t="s">
        <v>278</v>
      </c>
      <c r="E786" s="444"/>
      <c r="F786" s="444"/>
      <c r="G786" s="444"/>
      <c r="H786" s="444"/>
      <c r="I786" s="29"/>
      <c r="J786" s="77"/>
      <c r="K786" s="80">
        <f>SUM(I786:J786)</f>
        <v>0</v>
      </c>
      <c r="L786" s="80"/>
      <c r="M786" s="82"/>
    </row>
    <row r="787" spans="1:13" s="79" customFormat="1" ht="13.5" customHeight="1" hidden="1">
      <c r="A787" s="407"/>
      <c r="C787" s="151"/>
      <c r="D787" s="444" t="s">
        <v>280</v>
      </c>
      <c r="E787" s="444"/>
      <c r="F787" s="444"/>
      <c r="G787" s="444"/>
      <c r="H787" s="444"/>
      <c r="I787" s="29"/>
      <c r="J787" s="77"/>
      <c r="K787" s="80">
        <f>SUM(I787:J787)</f>
        <v>0</v>
      </c>
      <c r="L787" s="80"/>
      <c r="M787" s="82"/>
    </row>
    <row r="788" spans="1:13" s="79" customFormat="1" ht="13.5" customHeight="1" hidden="1">
      <c r="A788" s="407"/>
      <c r="C788" s="151"/>
      <c r="D788" s="444" t="s">
        <v>281</v>
      </c>
      <c r="E788" s="444"/>
      <c r="F788" s="444"/>
      <c r="G788" s="444"/>
      <c r="H788" s="444"/>
      <c r="I788" s="29"/>
      <c r="J788" s="77"/>
      <c r="K788" s="80">
        <f>SUM(I788:J788)</f>
        <v>0</v>
      </c>
      <c r="L788" s="80"/>
      <c r="M788" s="82"/>
    </row>
    <row r="789" spans="1:12" s="82" customFormat="1" ht="7.5" customHeight="1">
      <c r="A789" s="407"/>
      <c r="C789" s="149"/>
      <c r="D789" s="81"/>
      <c r="E789" s="81"/>
      <c r="F789" s="81"/>
      <c r="G789" s="81"/>
      <c r="H789" s="81"/>
      <c r="I789" s="29"/>
      <c r="J789" s="80"/>
      <c r="K789" s="29"/>
      <c r="L789" s="80"/>
    </row>
    <row r="790" spans="1:12" s="132" customFormat="1" ht="21" customHeight="1">
      <c r="A790" s="411"/>
      <c r="C790" s="135" t="s">
        <v>97</v>
      </c>
      <c r="D790" s="436" t="s">
        <v>101</v>
      </c>
      <c r="E790" s="436"/>
      <c r="F790" s="436"/>
      <c r="G790" s="436"/>
      <c r="H790" s="436"/>
      <c r="I790" s="136"/>
      <c r="J790" s="131"/>
      <c r="K790" s="136"/>
      <c r="L790" s="131"/>
    </row>
    <row r="791" spans="1:12" s="88" customFormat="1" ht="13.5" customHeight="1">
      <c r="A791" s="411"/>
      <c r="C791" s="96"/>
      <c r="D791" s="447" t="s">
        <v>37</v>
      </c>
      <c r="E791" s="447"/>
      <c r="F791" s="447"/>
      <c r="G791" s="447"/>
      <c r="H791" s="447"/>
      <c r="I791" s="77">
        <f>SUM(I792:I794)</f>
        <v>115723</v>
      </c>
      <c r="J791" s="77">
        <f>SUM(J792:J794)</f>
        <v>0</v>
      </c>
      <c r="K791" s="77">
        <f>SUM(K792:K794)</f>
        <v>115723</v>
      </c>
      <c r="L791" s="98"/>
    </row>
    <row r="792" spans="1:12" s="88" customFormat="1" ht="13.5" customHeight="1">
      <c r="A792" s="411"/>
      <c r="C792" s="96"/>
      <c r="D792" s="446" t="s">
        <v>5</v>
      </c>
      <c r="E792" s="446"/>
      <c r="F792" s="446"/>
      <c r="G792" s="446"/>
      <c r="H792" s="446"/>
      <c r="I792" s="29">
        <f>394+619253-503924</f>
        <v>115723</v>
      </c>
      <c r="J792" s="98"/>
      <c r="K792" s="97">
        <f>SUM(I792:J792)</f>
        <v>115723</v>
      </c>
      <c r="L792" s="98"/>
    </row>
    <row r="793" spans="1:12" s="88" customFormat="1" ht="13.5" customHeight="1" hidden="1">
      <c r="A793" s="411"/>
      <c r="C793" s="96"/>
      <c r="D793" s="446" t="s">
        <v>6</v>
      </c>
      <c r="E793" s="446"/>
      <c r="F793" s="446"/>
      <c r="G793" s="446"/>
      <c r="H793" s="446"/>
      <c r="I793" s="29"/>
      <c r="J793" s="98"/>
      <c r="K793" s="97">
        <f>SUM(I793:J793)</f>
        <v>0</v>
      </c>
      <c r="L793" s="98"/>
    </row>
    <row r="794" spans="1:12" s="88" customFormat="1" ht="13.5" customHeight="1" hidden="1">
      <c r="A794" s="411"/>
      <c r="C794" s="96"/>
      <c r="D794" s="446" t="s">
        <v>7</v>
      </c>
      <c r="E794" s="446"/>
      <c r="F794" s="446"/>
      <c r="G794" s="446"/>
      <c r="H794" s="446"/>
      <c r="I794" s="29"/>
      <c r="J794" s="98"/>
      <c r="K794" s="97">
        <f>SUM(I794:J794)</f>
        <v>0</v>
      </c>
      <c r="L794" s="98"/>
    </row>
    <row r="795" spans="1:12" s="88" customFormat="1" ht="13.5" customHeight="1">
      <c r="A795" s="411"/>
      <c r="C795" s="96"/>
      <c r="D795" s="447" t="s">
        <v>38</v>
      </c>
      <c r="E795" s="447"/>
      <c r="F795" s="447"/>
      <c r="G795" s="447"/>
      <c r="H795" s="447"/>
      <c r="I795" s="254">
        <f>SUM(I796:I801)</f>
        <v>115723</v>
      </c>
      <c r="J795" s="254">
        <f>SUM(J796:J801)</f>
        <v>0</v>
      </c>
      <c r="K795" s="254">
        <f>SUM(K796:K801)</f>
        <v>115723</v>
      </c>
      <c r="L795" s="98"/>
    </row>
    <row r="796" spans="1:12" s="88" customFormat="1" ht="13.5" customHeight="1" hidden="1">
      <c r="A796" s="411"/>
      <c r="C796" s="96"/>
      <c r="D796" s="446" t="s">
        <v>289</v>
      </c>
      <c r="E796" s="446"/>
      <c r="F796" s="446"/>
      <c r="G796" s="446"/>
      <c r="H796" s="446"/>
      <c r="I796" s="29"/>
      <c r="J796" s="98"/>
      <c r="K796" s="97">
        <f aca="true" t="shared" si="52" ref="K796:K801">SUM(I796:J796)</f>
        <v>0</v>
      </c>
      <c r="L796" s="98"/>
    </row>
    <row r="797" spans="1:12" s="88" customFormat="1" ht="12" customHeight="1">
      <c r="A797" s="411"/>
      <c r="C797" s="96"/>
      <c r="D797" s="444" t="s">
        <v>8</v>
      </c>
      <c r="E797" s="448"/>
      <c r="F797" s="448"/>
      <c r="G797" s="448"/>
      <c r="H797" s="448"/>
      <c r="I797" s="29">
        <f>394+366242-282379</f>
        <v>84257</v>
      </c>
      <c r="J797" s="98"/>
      <c r="K797" s="97">
        <f t="shared" si="52"/>
        <v>84257</v>
      </c>
      <c r="L797" s="98"/>
    </row>
    <row r="798" spans="1:12" s="88" customFormat="1" ht="13.5" customHeight="1">
      <c r="A798" s="411"/>
      <c r="C798" s="96"/>
      <c r="D798" s="444" t="s">
        <v>10</v>
      </c>
      <c r="E798" s="444"/>
      <c r="F798" s="444"/>
      <c r="G798" s="444"/>
      <c r="H798" s="444"/>
      <c r="I798" s="29">
        <f>95241-63775</f>
        <v>31466</v>
      </c>
      <c r="J798" s="98"/>
      <c r="K798" s="97">
        <f t="shared" si="52"/>
        <v>31466</v>
      </c>
      <c r="L798" s="98"/>
    </row>
    <row r="799" spans="1:12" s="88" customFormat="1" ht="13.5" customHeight="1" hidden="1">
      <c r="A799" s="411"/>
      <c r="C799" s="96"/>
      <c r="D799" s="444" t="s">
        <v>9</v>
      </c>
      <c r="E799" s="444"/>
      <c r="F799" s="444"/>
      <c r="G799" s="444"/>
      <c r="H799" s="444"/>
      <c r="I799" s="29"/>
      <c r="J799" s="98"/>
      <c r="K799" s="97">
        <f t="shared" si="52"/>
        <v>0</v>
      </c>
      <c r="L799" s="98"/>
    </row>
    <row r="800" spans="1:12" s="88" customFormat="1" ht="13.5" customHeight="1">
      <c r="A800" s="411"/>
      <c r="C800" s="96"/>
      <c r="D800" s="444" t="s">
        <v>11</v>
      </c>
      <c r="E800" s="444"/>
      <c r="F800" s="444"/>
      <c r="G800" s="444"/>
      <c r="H800" s="444"/>
      <c r="I800" s="29">
        <f>157770-157770</f>
        <v>0</v>
      </c>
      <c r="J800" s="98"/>
      <c r="K800" s="97">
        <f t="shared" si="52"/>
        <v>0</v>
      </c>
      <c r="L800" s="98"/>
    </row>
    <row r="801" spans="1:12" s="88" customFormat="1" ht="13.5" customHeight="1" hidden="1">
      <c r="A801" s="411"/>
      <c r="C801" s="96"/>
      <c r="D801" s="444" t="s">
        <v>12</v>
      </c>
      <c r="E801" s="444"/>
      <c r="F801" s="444"/>
      <c r="G801" s="444"/>
      <c r="H801" s="444"/>
      <c r="I801" s="29"/>
      <c r="J801" s="98"/>
      <c r="K801" s="97">
        <f t="shared" si="52"/>
        <v>0</v>
      </c>
      <c r="L801" s="98"/>
    </row>
    <row r="802" spans="1:12" s="88" customFormat="1" ht="13.5" customHeight="1">
      <c r="A802" s="411"/>
      <c r="C802" s="96"/>
      <c r="D802" s="445" t="s">
        <v>277</v>
      </c>
      <c r="E802" s="445"/>
      <c r="F802" s="445"/>
      <c r="G802" s="445"/>
      <c r="H802" s="445"/>
      <c r="I802" s="77">
        <f>I791-I795</f>
        <v>0</v>
      </c>
      <c r="J802" s="77">
        <f>J791-J795</f>
        <v>0</v>
      </c>
      <c r="K802" s="77">
        <f>K791-K795</f>
        <v>0</v>
      </c>
      <c r="L802" s="98"/>
    </row>
    <row r="803" spans="1:12" s="88" customFormat="1" ht="12.75" customHeight="1">
      <c r="A803" s="411"/>
      <c r="C803" s="96"/>
      <c r="D803" s="444" t="s">
        <v>279</v>
      </c>
      <c r="E803" s="444"/>
      <c r="F803" s="444"/>
      <c r="G803" s="444"/>
      <c r="H803" s="444"/>
      <c r="I803" s="29">
        <f>I804+I805+I806</f>
        <v>0</v>
      </c>
      <c r="J803" s="29">
        <f>J804+J805+J806</f>
        <v>0</v>
      </c>
      <c r="K803" s="29">
        <f>K804+K805+K806</f>
        <v>0</v>
      </c>
      <c r="L803" s="98"/>
    </row>
    <row r="804" spans="1:12" s="88" customFormat="1" ht="15" customHeight="1" hidden="1">
      <c r="A804" s="411"/>
      <c r="C804" s="96"/>
      <c r="D804" s="444" t="s">
        <v>278</v>
      </c>
      <c r="E804" s="444"/>
      <c r="F804" s="444"/>
      <c r="G804" s="444"/>
      <c r="H804" s="444"/>
      <c r="I804" s="29"/>
      <c r="J804" s="77"/>
      <c r="K804" s="80">
        <f>SUM(I804:J804)</f>
        <v>0</v>
      </c>
      <c r="L804" s="98"/>
    </row>
    <row r="805" spans="1:12" s="88" customFormat="1" ht="15" customHeight="1" hidden="1">
      <c r="A805" s="411"/>
      <c r="C805" s="96"/>
      <c r="D805" s="444" t="s">
        <v>280</v>
      </c>
      <c r="E805" s="444"/>
      <c r="F805" s="444"/>
      <c r="G805" s="444"/>
      <c r="H805" s="444"/>
      <c r="I805" s="29"/>
      <c r="J805" s="77"/>
      <c r="K805" s="80">
        <f>SUM(I805:J805)</f>
        <v>0</v>
      </c>
      <c r="L805" s="98"/>
    </row>
    <row r="806" spans="1:12" s="88" customFormat="1" ht="15" customHeight="1" hidden="1">
      <c r="A806" s="411"/>
      <c r="C806" s="96"/>
      <c r="D806" s="444" t="s">
        <v>281</v>
      </c>
      <c r="E806" s="444"/>
      <c r="F806" s="444"/>
      <c r="G806" s="444"/>
      <c r="H806" s="444"/>
      <c r="I806" s="29"/>
      <c r="J806" s="77"/>
      <c r="K806" s="80">
        <f>SUM(I806:J806)</f>
        <v>0</v>
      </c>
      <c r="L806" s="98"/>
    </row>
    <row r="807" spans="1:12" s="88" customFormat="1" ht="3" customHeight="1">
      <c r="A807" s="411"/>
      <c r="C807" s="96"/>
      <c r="D807" s="85"/>
      <c r="E807" s="85"/>
      <c r="F807" s="85"/>
      <c r="G807" s="85"/>
      <c r="H807" s="85"/>
      <c r="I807" s="29"/>
      <c r="J807" s="77"/>
      <c r="K807" s="80"/>
      <c r="L807" s="98"/>
    </row>
    <row r="808" spans="1:13" s="15" customFormat="1" ht="1.5" customHeight="1" hidden="1">
      <c r="A808" s="407"/>
      <c r="C808" s="151"/>
      <c r="D808" s="16"/>
      <c r="E808" s="16"/>
      <c r="F808" s="16"/>
      <c r="G808" s="16"/>
      <c r="H808" s="16"/>
      <c r="I808" s="77"/>
      <c r="J808" s="78"/>
      <c r="K808" s="78"/>
      <c r="L808" s="127"/>
      <c r="M808" s="95"/>
    </row>
    <row r="809" spans="1:13" s="15" customFormat="1" ht="13.5" customHeight="1">
      <c r="A809" s="407"/>
      <c r="C809" s="142" t="s">
        <v>51</v>
      </c>
      <c r="D809" s="450" t="s">
        <v>523</v>
      </c>
      <c r="E809" s="450"/>
      <c r="F809" s="450"/>
      <c r="G809" s="450"/>
      <c r="H809" s="450"/>
      <c r="I809" s="17"/>
      <c r="J809" s="126"/>
      <c r="K809" s="126"/>
      <c r="L809" s="127"/>
      <c r="M809" s="95"/>
    </row>
    <row r="810" spans="1:13" s="15" customFormat="1" ht="15" customHeight="1">
      <c r="A810" s="407"/>
      <c r="C810" s="154"/>
      <c r="D810" s="447" t="s">
        <v>37</v>
      </c>
      <c r="E810" s="447"/>
      <c r="F810" s="447"/>
      <c r="G810" s="447"/>
      <c r="H810" s="447"/>
      <c r="I810" s="77">
        <f>SUM(I811:I813)</f>
        <v>1001793</v>
      </c>
      <c r="J810" s="77">
        <f>SUM(J811:J813)</f>
        <v>76368</v>
      </c>
      <c r="K810" s="77">
        <f>SUM(K811:K813)</f>
        <v>1078161</v>
      </c>
      <c r="L810" s="127"/>
      <c r="M810" s="95"/>
    </row>
    <row r="811" spans="1:13" s="15" customFormat="1" ht="12.75" customHeight="1">
      <c r="A811" s="407"/>
      <c r="C811" s="154"/>
      <c r="D811" s="446" t="s">
        <v>5</v>
      </c>
      <c r="E811" s="446"/>
      <c r="F811" s="446"/>
      <c r="G811" s="446"/>
      <c r="H811" s="446"/>
      <c r="I811" s="29">
        <f aca="true" t="shared" si="53" ref="I811:K813">I829+I847+I865</f>
        <v>1001793</v>
      </c>
      <c r="J811" s="29">
        <f t="shared" si="53"/>
        <v>76368</v>
      </c>
      <c r="K811" s="29">
        <f t="shared" si="53"/>
        <v>1078161</v>
      </c>
      <c r="L811" s="127"/>
      <c r="M811" s="95"/>
    </row>
    <row r="812" spans="1:13" s="15" customFormat="1" ht="15" customHeight="1" hidden="1">
      <c r="A812" s="407"/>
      <c r="C812" s="154"/>
      <c r="D812" s="446" t="s">
        <v>6</v>
      </c>
      <c r="E812" s="446"/>
      <c r="F812" s="446"/>
      <c r="G812" s="446"/>
      <c r="H812" s="446"/>
      <c r="I812" s="29">
        <f t="shared" si="53"/>
        <v>0</v>
      </c>
      <c r="J812" s="29">
        <f t="shared" si="53"/>
        <v>0</v>
      </c>
      <c r="K812" s="29">
        <f t="shared" si="53"/>
        <v>0</v>
      </c>
      <c r="L812" s="127"/>
      <c r="M812" s="95"/>
    </row>
    <row r="813" spans="1:13" s="15" customFormat="1" ht="15" customHeight="1" hidden="1">
      <c r="A813" s="407"/>
      <c r="C813" s="154"/>
      <c r="D813" s="446" t="s">
        <v>7</v>
      </c>
      <c r="E813" s="446"/>
      <c r="F813" s="446"/>
      <c r="G813" s="446"/>
      <c r="H813" s="446"/>
      <c r="I813" s="29">
        <f t="shared" si="53"/>
        <v>0</v>
      </c>
      <c r="J813" s="29">
        <f t="shared" si="53"/>
        <v>0</v>
      </c>
      <c r="K813" s="29">
        <f t="shared" si="53"/>
        <v>0</v>
      </c>
      <c r="L813" s="127"/>
      <c r="M813" s="95"/>
    </row>
    <row r="814" spans="1:13" s="15" customFormat="1" ht="12.75" customHeight="1">
      <c r="A814" s="407"/>
      <c r="C814" s="154"/>
      <c r="D814" s="447" t="s">
        <v>38</v>
      </c>
      <c r="E814" s="447"/>
      <c r="F814" s="447"/>
      <c r="G814" s="447"/>
      <c r="H814" s="447"/>
      <c r="I814" s="253">
        <f>SUM(I815:I820)</f>
        <v>1001793</v>
      </c>
      <c r="J814" s="253">
        <f>SUM(J815:J820)</f>
        <v>76368</v>
      </c>
      <c r="K814" s="253">
        <f>SUM(K815:K820)</f>
        <v>1078161</v>
      </c>
      <c r="L814" s="127"/>
      <c r="M814" s="95"/>
    </row>
    <row r="815" spans="1:13" s="15" customFormat="1" ht="12.75" customHeight="1">
      <c r="A815" s="407"/>
      <c r="C815" s="154"/>
      <c r="D815" s="446" t="s">
        <v>289</v>
      </c>
      <c r="E815" s="446"/>
      <c r="F815" s="446"/>
      <c r="G815" s="446"/>
      <c r="H815" s="446"/>
      <c r="I815" s="29">
        <f aca="true" t="shared" si="54" ref="I815:K820">I833+I851+I869</f>
        <v>108354</v>
      </c>
      <c r="J815" s="29">
        <f t="shared" si="54"/>
        <v>1173</v>
      </c>
      <c r="K815" s="29">
        <f t="shared" si="54"/>
        <v>109527</v>
      </c>
      <c r="L815" s="127"/>
      <c r="M815" s="95"/>
    </row>
    <row r="816" spans="1:13" s="15" customFormat="1" ht="12.75" customHeight="1">
      <c r="A816" s="407"/>
      <c r="C816" s="154"/>
      <c r="D816" s="444" t="s">
        <v>8</v>
      </c>
      <c r="E816" s="448"/>
      <c r="F816" s="448"/>
      <c r="G816" s="448"/>
      <c r="H816" s="448"/>
      <c r="I816" s="29">
        <f t="shared" si="54"/>
        <v>671894</v>
      </c>
      <c r="J816" s="29">
        <f t="shared" si="54"/>
        <v>193154</v>
      </c>
      <c r="K816" s="29">
        <f t="shared" si="54"/>
        <v>865048</v>
      </c>
      <c r="L816" s="127"/>
      <c r="M816" s="95"/>
    </row>
    <row r="817" spans="1:13" s="15" customFormat="1" ht="12.75" customHeight="1">
      <c r="A817" s="407"/>
      <c r="C817" s="154"/>
      <c r="D817" s="444" t="s">
        <v>10</v>
      </c>
      <c r="E817" s="444"/>
      <c r="F817" s="444"/>
      <c r="G817" s="444"/>
      <c r="H817" s="444"/>
      <c r="I817" s="29">
        <f t="shared" si="54"/>
        <v>63775</v>
      </c>
      <c r="J817" s="29">
        <f t="shared" si="54"/>
        <v>0</v>
      </c>
      <c r="K817" s="29">
        <f t="shared" si="54"/>
        <v>63775</v>
      </c>
      <c r="L817" s="127"/>
      <c r="M817" s="95"/>
    </row>
    <row r="818" spans="1:13" s="15" customFormat="1" ht="15" customHeight="1" hidden="1">
      <c r="A818" s="407"/>
      <c r="C818" s="154"/>
      <c r="D818" s="444" t="s">
        <v>9</v>
      </c>
      <c r="E818" s="444"/>
      <c r="F818" s="444"/>
      <c r="G818" s="444"/>
      <c r="H818" s="444"/>
      <c r="I818" s="29">
        <f t="shared" si="54"/>
        <v>0</v>
      </c>
      <c r="J818" s="29">
        <f t="shared" si="54"/>
        <v>0</v>
      </c>
      <c r="K818" s="29">
        <f t="shared" si="54"/>
        <v>0</v>
      </c>
      <c r="L818" s="127"/>
      <c r="M818" s="95"/>
    </row>
    <row r="819" spans="1:13" s="15" customFormat="1" ht="12.75" customHeight="1">
      <c r="A819" s="407"/>
      <c r="C819" s="154"/>
      <c r="D819" s="444" t="s">
        <v>11</v>
      </c>
      <c r="E819" s="444"/>
      <c r="F819" s="444"/>
      <c r="G819" s="444"/>
      <c r="H819" s="444"/>
      <c r="I819" s="29">
        <f t="shared" si="54"/>
        <v>157770</v>
      </c>
      <c r="J819" s="29">
        <f t="shared" si="54"/>
        <v>-117959</v>
      </c>
      <c r="K819" s="29">
        <f t="shared" si="54"/>
        <v>39811</v>
      </c>
      <c r="L819" s="127"/>
      <c r="M819" s="95"/>
    </row>
    <row r="820" spans="1:13" s="15" customFormat="1" ht="0.75" customHeight="1" hidden="1">
      <c r="A820" s="407"/>
      <c r="C820" s="151"/>
      <c r="D820" s="444" t="s">
        <v>12</v>
      </c>
      <c r="E820" s="444"/>
      <c r="F820" s="444"/>
      <c r="G820" s="444"/>
      <c r="H820" s="444"/>
      <c r="I820" s="29">
        <f t="shared" si="54"/>
        <v>0</v>
      </c>
      <c r="J820" s="29">
        <f t="shared" si="54"/>
        <v>0</v>
      </c>
      <c r="K820" s="29">
        <f t="shared" si="54"/>
        <v>0</v>
      </c>
      <c r="L820" s="127"/>
      <c r="M820" s="95"/>
    </row>
    <row r="821" spans="1:13" s="15" customFormat="1" ht="12.75" customHeight="1">
      <c r="A821" s="407"/>
      <c r="C821" s="151"/>
      <c r="D821" s="445" t="s">
        <v>277</v>
      </c>
      <c r="E821" s="445"/>
      <c r="F821" s="445"/>
      <c r="G821" s="445"/>
      <c r="H821" s="445"/>
      <c r="I821" s="77">
        <f>I810-I814</f>
        <v>0</v>
      </c>
      <c r="J821" s="77">
        <f>J810-J814</f>
        <v>0</v>
      </c>
      <c r="K821" s="77">
        <f>K810-K814</f>
        <v>0</v>
      </c>
      <c r="L821" s="127"/>
      <c r="M821" s="95"/>
    </row>
    <row r="822" spans="1:13" s="15" customFormat="1" ht="13.5" customHeight="1">
      <c r="A822" s="407"/>
      <c r="C822" s="151"/>
      <c r="D822" s="444" t="s">
        <v>279</v>
      </c>
      <c r="E822" s="444"/>
      <c r="F822" s="444"/>
      <c r="G822" s="444"/>
      <c r="H822" s="444"/>
      <c r="I822" s="29">
        <f>I823+I824+I825</f>
        <v>0</v>
      </c>
      <c r="J822" s="29">
        <f>J823+J824+J825</f>
        <v>0</v>
      </c>
      <c r="K822" s="29">
        <f>K823+K824+K825</f>
        <v>0</v>
      </c>
      <c r="L822" s="127"/>
      <c r="M822" s="95"/>
    </row>
    <row r="823" spans="1:13" s="15" customFormat="1" ht="15" customHeight="1" hidden="1">
      <c r="A823" s="407"/>
      <c r="C823" s="151"/>
      <c r="D823" s="444" t="s">
        <v>278</v>
      </c>
      <c r="E823" s="444"/>
      <c r="F823" s="444"/>
      <c r="G823" s="444"/>
      <c r="H823" s="444"/>
      <c r="I823" s="29">
        <f aca="true" t="shared" si="55" ref="I823:K825">I841+I859+I877</f>
        <v>0</v>
      </c>
      <c r="J823" s="29">
        <f t="shared" si="55"/>
        <v>0</v>
      </c>
      <c r="K823" s="29">
        <f t="shared" si="55"/>
        <v>0</v>
      </c>
      <c r="L823" s="127"/>
      <c r="M823" s="95"/>
    </row>
    <row r="824" spans="1:13" s="15" customFormat="1" ht="15" customHeight="1" hidden="1">
      <c r="A824" s="407"/>
      <c r="C824" s="151"/>
      <c r="D824" s="444" t="s">
        <v>280</v>
      </c>
      <c r="E824" s="444"/>
      <c r="F824" s="444"/>
      <c r="G824" s="444"/>
      <c r="H824" s="444"/>
      <c r="I824" s="29">
        <f t="shared" si="55"/>
        <v>0</v>
      </c>
      <c r="J824" s="29">
        <f t="shared" si="55"/>
        <v>0</v>
      </c>
      <c r="K824" s="29">
        <f t="shared" si="55"/>
        <v>0</v>
      </c>
      <c r="L824" s="127"/>
      <c r="M824" s="95"/>
    </row>
    <row r="825" spans="1:13" s="15" customFormat="1" ht="15" customHeight="1" hidden="1">
      <c r="A825" s="407"/>
      <c r="C825" s="151"/>
      <c r="D825" s="444" t="s">
        <v>281</v>
      </c>
      <c r="E825" s="444"/>
      <c r="F825" s="444"/>
      <c r="G825" s="444"/>
      <c r="H825" s="444"/>
      <c r="I825" s="29">
        <f t="shared" si="55"/>
        <v>0</v>
      </c>
      <c r="J825" s="29">
        <f t="shared" si="55"/>
        <v>0</v>
      </c>
      <c r="K825" s="29">
        <f t="shared" si="55"/>
        <v>0</v>
      </c>
      <c r="L825" s="127"/>
      <c r="M825" s="95"/>
    </row>
    <row r="826" spans="1:13" s="15" customFormat="1" ht="2.25" customHeight="1">
      <c r="A826" s="407"/>
      <c r="C826" s="151"/>
      <c r="D826" s="85"/>
      <c r="E826" s="85"/>
      <c r="F826" s="85"/>
      <c r="G826" s="85"/>
      <c r="H826" s="85"/>
      <c r="I826" s="29"/>
      <c r="J826" s="77"/>
      <c r="K826" s="77"/>
      <c r="L826" s="127"/>
      <c r="M826" s="95"/>
    </row>
    <row r="827" spans="1:13" s="15" customFormat="1" ht="12.75" customHeight="1">
      <c r="A827" s="407"/>
      <c r="C827" s="153" t="s">
        <v>98</v>
      </c>
      <c r="D827" s="449" t="s">
        <v>58</v>
      </c>
      <c r="E827" s="449"/>
      <c r="F827" s="449"/>
      <c r="G827" s="449"/>
      <c r="H827" s="449"/>
      <c r="I827" s="129"/>
      <c r="J827" s="127"/>
      <c r="K827" s="129"/>
      <c r="L827" s="127"/>
      <c r="M827" s="95"/>
    </row>
    <row r="828" spans="1:13" s="15" customFormat="1" ht="12.75" customHeight="1">
      <c r="A828" s="407"/>
      <c r="C828" s="149"/>
      <c r="D828" s="447" t="s">
        <v>37</v>
      </c>
      <c r="E828" s="447"/>
      <c r="F828" s="447"/>
      <c r="G828" s="447"/>
      <c r="H828" s="447"/>
      <c r="I828" s="77">
        <f>SUM(I829:I831)</f>
        <v>344808</v>
      </c>
      <c r="J828" s="77">
        <f>SUM(J829:J831)</f>
        <v>75827</v>
      </c>
      <c r="K828" s="77">
        <f>SUM(K829:K831)</f>
        <v>420635</v>
      </c>
      <c r="L828" s="127"/>
      <c r="M828" s="95"/>
    </row>
    <row r="829" spans="1:13" s="15" customFormat="1" ht="12" customHeight="1">
      <c r="A829" s="407"/>
      <c r="C829" s="149"/>
      <c r="D829" s="446" t="s">
        <v>5</v>
      </c>
      <c r="E829" s="446"/>
      <c r="F829" s="446"/>
      <c r="G829" s="446"/>
      <c r="H829" s="446"/>
      <c r="I829" s="29">
        <f>344808</f>
        <v>344808</v>
      </c>
      <c r="J829" s="80">
        <f>75827</f>
        <v>75827</v>
      </c>
      <c r="K829" s="29">
        <f>SUM(I829:J829)</f>
        <v>420635</v>
      </c>
      <c r="L829" s="127"/>
      <c r="M829" s="95"/>
    </row>
    <row r="830" spans="1:13" s="15" customFormat="1" ht="15" customHeight="1" hidden="1">
      <c r="A830" s="407"/>
      <c r="C830" s="149"/>
      <c r="D830" s="446" t="s">
        <v>6</v>
      </c>
      <c r="E830" s="446"/>
      <c r="F830" s="446"/>
      <c r="G830" s="446"/>
      <c r="H830" s="446"/>
      <c r="I830" s="29"/>
      <c r="J830" s="80"/>
      <c r="K830" s="29">
        <f>SUM(I830:J830)</f>
        <v>0</v>
      </c>
      <c r="L830" s="127"/>
      <c r="M830" s="95"/>
    </row>
    <row r="831" spans="1:13" s="15" customFormat="1" ht="15" customHeight="1" hidden="1">
      <c r="A831" s="407"/>
      <c r="C831" s="149"/>
      <c r="D831" s="446" t="s">
        <v>7</v>
      </c>
      <c r="E831" s="446"/>
      <c r="F831" s="446"/>
      <c r="G831" s="446"/>
      <c r="H831" s="446"/>
      <c r="I831" s="29"/>
      <c r="J831" s="80"/>
      <c r="K831" s="29">
        <f>SUM(I831:J831)</f>
        <v>0</v>
      </c>
      <c r="L831" s="127"/>
      <c r="M831" s="95"/>
    </row>
    <row r="832" spans="1:13" s="15" customFormat="1" ht="12" customHeight="1">
      <c r="A832" s="407"/>
      <c r="C832" s="149"/>
      <c r="D832" s="447" t="s">
        <v>38</v>
      </c>
      <c r="E832" s="447"/>
      <c r="F832" s="447"/>
      <c r="G832" s="447"/>
      <c r="H832" s="447"/>
      <c r="I832" s="254">
        <f>SUM(I833:I838)</f>
        <v>344808</v>
      </c>
      <c r="J832" s="254">
        <f>SUM(J833:J838)</f>
        <v>75827</v>
      </c>
      <c r="K832" s="254">
        <f>SUM(K833:K838)</f>
        <v>420635</v>
      </c>
      <c r="L832" s="127"/>
      <c r="M832" s="95"/>
    </row>
    <row r="833" spans="1:13" s="15" customFormat="1" ht="0.75" customHeight="1" hidden="1">
      <c r="A833" s="407"/>
      <c r="C833" s="149"/>
      <c r="D833" s="446" t="s">
        <v>289</v>
      </c>
      <c r="E833" s="446"/>
      <c r="F833" s="446"/>
      <c r="G833" s="446"/>
      <c r="H833" s="446"/>
      <c r="I833" s="29"/>
      <c r="J833" s="80"/>
      <c r="K833" s="29">
        <f aca="true" t="shared" si="56" ref="K833:K838">SUM(I833:J833)</f>
        <v>0</v>
      </c>
      <c r="L833" s="127"/>
      <c r="M833" s="95"/>
    </row>
    <row r="834" spans="1:13" s="15" customFormat="1" ht="12.75" customHeight="1">
      <c r="A834" s="407"/>
      <c r="C834" s="149"/>
      <c r="D834" s="444" t="s">
        <v>8</v>
      </c>
      <c r="E834" s="448"/>
      <c r="F834" s="448"/>
      <c r="G834" s="448"/>
      <c r="H834" s="448"/>
      <c r="I834" s="29">
        <f>344808</f>
        <v>344808</v>
      </c>
      <c r="J834" s="80">
        <f>68937</f>
        <v>68937</v>
      </c>
      <c r="K834" s="29">
        <f t="shared" si="56"/>
        <v>413745</v>
      </c>
      <c r="L834" s="127"/>
      <c r="M834" s="95"/>
    </row>
    <row r="835" spans="1:13" s="15" customFormat="1" ht="12.75" customHeight="1" hidden="1">
      <c r="A835" s="407"/>
      <c r="C835" s="149"/>
      <c r="D835" s="444" t="s">
        <v>10</v>
      </c>
      <c r="E835" s="444"/>
      <c r="F835" s="444"/>
      <c r="G835" s="444"/>
      <c r="H835" s="444"/>
      <c r="I835" s="29"/>
      <c r="J835" s="80"/>
      <c r="K835" s="29">
        <f t="shared" si="56"/>
        <v>0</v>
      </c>
      <c r="L835" s="127"/>
      <c r="M835" s="95"/>
    </row>
    <row r="836" spans="1:13" s="15" customFormat="1" ht="12.75" customHeight="1" hidden="1">
      <c r="A836" s="407"/>
      <c r="C836" s="151"/>
      <c r="D836" s="444" t="s">
        <v>9</v>
      </c>
      <c r="E836" s="444"/>
      <c r="F836" s="444"/>
      <c r="G836" s="444"/>
      <c r="H836" s="444"/>
      <c r="I836" s="29"/>
      <c r="J836" s="77"/>
      <c r="K836" s="29">
        <f t="shared" si="56"/>
        <v>0</v>
      </c>
      <c r="L836" s="127"/>
      <c r="M836" s="95"/>
    </row>
    <row r="837" spans="1:13" s="15" customFormat="1" ht="12.75" customHeight="1">
      <c r="A837" s="407"/>
      <c r="C837" s="149"/>
      <c r="D837" s="444" t="s">
        <v>11</v>
      </c>
      <c r="E837" s="444"/>
      <c r="F837" s="444"/>
      <c r="G837" s="444"/>
      <c r="H837" s="444"/>
      <c r="I837" s="29"/>
      <c r="J837" s="80">
        <f>6890</f>
        <v>6890</v>
      </c>
      <c r="K837" s="29">
        <f t="shared" si="56"/>
        <v>6890</v>
      </c>
      <c r="L837" s="127"/>
      <c r="M837" s="95"/>
    </row>
    <row r="838" spans="1:13" s="15" customFormat="1" ht="2.25" customHeight="1" hidden="1">
      <c r="A838" s="407"/>
      <c r="C838" s="151"/>
      <c r="D838" s="444" t="s">
        <v>12</v>
      </c>
      <c r="E838" s="444"/>
      <c r="F838" s="444"/>
      <c r="G838" s="444"/>
      <c r="H838" s="444"/>
      <c r="I838" s="29"/>
      <c r="J838" s="77"/>
      <c r="K838" s="29">
        <f t="shared" si="56"/>
        <v>0</v>
      </c>
      <c r="L838" s="127"/>
      <c r="M838" s="95"/>
    </row>
    <row r="839" spans="1:13" s="15" customFormat="1" ht="10.5" customHeight="1">
      <c r="A839" s="407"/>
      <c r="C839" s="151"/>
      <c r="D839" s="445" t="s">
        <v>277</v>
      </c>
      <c r="E839" s="445"/>
      <c r="F839" s="445"/>
      <c r="G839" s="445"/>
      <c r="H839" s="445"/>
      <c r="I839" s="77">
        <f>I828-I832</f>
        <v>0</v>
      </c>
      <c r="J839" s="77">
        <f>J828-J832</f>
        <v>0</v>
      </c>
      <c r="K839" s="77">
        <f>K828-K832</f>
        <v>0</v>
      </c>
      <c r="L839" s="127"/>
      <c r="M839" s="95"/>
    </row>
    <row r="840" spans="1:13" s="15" customFormat="1" ht="9.75" customHeight="1">
      <c r="A840" s="407"/>
      <c r="C840" s="151"/>
      <c r="D840" s="444" t="s">
        <v>279</v>
      </c>
      <c r="E840" s="444"/>
      <c r="F840" s="444"/>
      <c r="G840" s="444"/>
      <c r="H840" s="444"/>
      <c r="I840" s="29">
        <f>I841+I842+I843</f>
        <v>0</v>
      </c>
      <c r="J840" s="29">
        <f>J841+J842+J843</f>
        <v>0</v>
      </c>
      <c r="K840" s="29">
        <f>K841+K842+K843</f>
        <v>0</v>
      </c>
      <c r="L840" s="127"/>
      <c r="M840" s="95"/>
    </row>
    <row r="841" spans="1:13" s="15" customFormat="1" ht="15" customHeight="1" hidden="1">
      <c r="A841" s="407"/>
      <c r="C841" s="151"/>
      <c r="D841" s="444" t="s">
        <v>278</v>
      </c>
      <c r="E841" s="444"/>
      <c r="F841" s="444"/>
      <c r="G841" s="444"/>
      <c r="H841" s="444"/>
      <c r="I841" s="29"/>
      <c r="J841" s="77"/>
      <c r="K841" s="80">
        <f>SUM(I841:J841)</f>
        <v>0</v>
      </c>
      <c r="L841" s="127"/>
      <c r="M841" s="95"/>
    </row>
    <row r="842" spans="1:13" s="15" customFormat="1" ht="15" customHeight="1" hidden="1">
      <c r="A842" s="407"/>
      <c r="C842" s="151"/>
      <c r="D842" s="444" t="s">
        <v>280</v>
      </c>
      <c r="E842" s="444"/>
      <c r="F842" s="444"/>
      <c r="G842" s="444"/>
      <c r="H842" s="444"/>
      <c r="I842" s="29"/>
      <c r="J842" s="77"/>
      <c r="K842" s="80">
        <f>SUM(I842:J842)</f>
        <v>0</v>
      </c>
      <c r="L842" s="127"/>
      <c r="M842" s="95"/>
    </row>
    <row r="843" spans="1:13" s="15" customFormat="1" ht="15" customHeight="1" hidden="1">
      <c r="A843" s="407"/>
      <c r="C843" s="151"/>
      <c r="D843" s="444" t="s">
        <v>281</v>
      </c>
      <c r="E843" s="444"/>
      <c r="F843" s="444"/>
      <c r="G843" s="444"/>
      <c r="H843" s="444"/>
      <c r="I843" s="29"/>
      <c r="J843" s="77"/>
      <c r="K843" s="80">
        <f>SUM(I843:J843)</f>
        <v>0</v>
      </c>
      <c r="L843" s="127"/>
      <c r="M843" s="95"/>
    </row>
    <row r="844" spans="1:13" s="15" customFormat="1" ht="6.75" customHeight="1">
      <c r="A844" s="407"/>
      <c r="C844" s="151"/>
      <c r="D844" s="85"/>
      <c r="E844" s="85"/>
      <c r="F844" s="85"/>
      <c r="G844" s="85"/>
      <c r="H844" s="85"/>
      <c r="I844" s="29"/>
      <c r="J844" s="77"/>
      <c r="K844" s="77"/>
      <c r="L844" s="127"/>
      <c r="M844" s="95"/>
    </row>
    <row r="845" spans="1:13" s="15" customFormat="1" ht="21.75" customHeight="1">
      <c r="A845" s="407"/>
      <c r="C845" s="153" t="s">
        <v>97</v>
      </c>
      <c r="D845" s="436" t="s">
        <v>101</v>
      </c>
      <c r="E845" s="436"/>
      <c r="F845" s="436"/>
      <c r="G845" s="436"/>
      <c r="H845" s="436"/>
      <c r="I845" s="129"/>
      <c r="J845" s="127"/>
      <c r="K845" s="129"/>
      <c r="L845" s="127"/>
      <c r="M845" s="95"/>
    </row>
    <row r="846" spans="1:13" s="15" customFormat="1" ht="15" customHeight="1">
      <c r="A846" s="407"/>
      <c r="C846" s="149"/>
      <c r="D846" s="447" t="s">
        <v>37</v>
      </c>
      <c r="E846" s="447"/>
      <c r="F846" s="447"/>
      <c r="G846" s="447"/>
      <c r="H846" s="447"/>
      <c r="I846" s="77">
        <f>SUM(I847:I849)</f>
        <v>526161</v>
      </c>
      <c r="J846" s="77">
        <f>SUM(J847:J849)</f>
        <v>-15632</v>
      </c>
      <c r="K846" s="77">
        <f>SUM(K847:K849)</f>
        <v>510529</v>
      </c>
      <c r="L846" s="127"/>
      <c r="M846" s="95"/>
    </row>
    <row r="847" spans="1:13" s="15" customFormat="1" ht="12" customHeight="1">
      <c r="A847" s="407"/>
      <c r="C847" s="149"/>
      <c r="D847" s="446" t="s">
        <v>5</v>
      </c>
      <c r="E847" s="446"/>
      <c r="F847" s="446"/>
      <c r="G847" s="446"/>
      <c r="H847" s="446"/>
      <c r="I847" s="29">
        <f>525162+999</f>
        <v>526161</v>
      </c>
      <c r="J847" s="80">
        <f>-15632</f>
        <v>-15632</v>
      </c>
      <c r="K847" s="29">
        <f>SUM(I847:J847)</f>
        <v>510529</v>
      </c>
      <c r="L847" s="127"/>
      <c r="M847" s="95"/>
    </row>
    <row r="848" spans="1:13" s="15" customFormat="1" ht="15" customHeight="1" hidden="1">
      <c r="A848" s="407"/>
      <c r="C848" s="149"/>
      <c r="D848" s="446" t="s">
        <v>6</v>
      </c>
      <c r="E848" s="446"/>
      <c r="F848" s="446"/>
      <c r="G848" s="446"/>
      <c r="H848" s="446"/>
      <c r="I848" s="29"/>
      <c r="J848" s="80"/>
      <c r="K848" s="29">
        <f>SUM(I848:J848)</f>
        <v>0</v>
      </c>
      <c r="L848" s="127"/>
      <c r="M848" s="95"/>
    </row>
    <row r="849" spans="1:13" s="15" customFormat="1" ht="15" customHeight="1" hidden="1">
      <c r="A849" s="407"/>
      <c r="C849" s="149"/>
      <c r="D849" s="446" t="s">
        <v>7</v>
      </c>
      <c r="E849" s="446"/>
      <c r="F849" s="446"/>
      <c r="G849" s="446"/>
      <c r="H849" s="446"/>
      <c r="I849" s="29"/>
      <c r="J849" s="80"/>
      <c r="K849" s="29">
        <f>SUM(I849:J849)</f>
        <v>0</v>
      </c>
      <c r="L849" s="127"/>
      <c r="M849" s="95"/>
    </row>
    <row r="850" spans="1:13" s="15" customFormat="1" ht="12.75" customHeight="1">
      <c r="A850" s="407"/>
      <c r="C850" s="149"/>
      <c r="D850" s="447" t="s">
        <v>38</v>
      </c>
      <c r="E850" s="447"/>
      <c r="F850" s="447"/>
      <c r="G850" s="447"/>
      <c r="H850" s="447"/>
      <c r="I850" s="254">
        <f>SUM(I851:I856)</f>
        <v>526161</v>
      </c>
      <c r="J850" s="254">
        <f>SUM(J851:J856)</f>
        <v>-15632</v>
      </c>
      <c r="K850" s="254">
        <f>SUM(K851:K856)</f>
        <v>510529</v>
      </c>
      <c r="L850" s="127"/>
      <c r="M850" s="95"/>
    </row>
    <row r="851" spans="1:13" s="15" customFormat="1" ht="15" customHeight="1" hidden="1">
      <c r="A851" s="407"/>
      <c r="C851" s="149"/>
      <c r="D851" s="446" t="s">
        <v>289</v>
      </c>
      <c r="E851" s="446"/>
      <c r="F851" s="446"/>
      <c r="G851" s="446"/>
      <c r="H851" s="446"/>
      <c r="I851" s="29"/>
      <c r="J851" s="80"/>
      <c r="K851" s="29">
        <f aca="true" t="shared" si="57" ref="K851:K856">SUM(I851:J851)</f>
        <v>0</v>
      </c>
      <c r="L851" s="127"/>
      <c r="M851" s="95"/>
    </row>
    <row r="852" spans="1:13" s="15" customFormat="1" ht="13.5" customHeight="1">
      <c r="A852" s="407"/>
      <c r="C852" s="149"/>
      <c r="D852" s="444" t="s">
        <v>8</v>
      </c>
      <c r="E852" s="448"/>
      <c r="F852" s="448"/>
      <c r="G852" s="448"/>
      <c r="H852" s="448"/>
      <c r="I852" s="29">
        <f>303617+999</f>
        <v>304616</v>
      </c>
      <c r="J852" s="80">
        <f>124217</f>
        <v>124217</v>
      </c>
      <c r="K852" s="29">
        <f t="shared" si="57"/>
        <v>428833</v>
      </c>
      <c r="L852" s="127"/>
      <c r="M852" s="95"/>
    </row>
    <row r="853" spans="1:13" s="15" customFormat="1" ht="12.75" customHeight="1">
      <c r="A853" s="407"/>
      <c r="C853" s="149"/>
      <c r="D853" s="444" t="s">
        <v>10</v>
      </c>
      <c r="E853" s="444"/>
      <c r="F853" s="444"/>
      <c r="G853" s="444"/>
      <c r="H853" s="444"/>
      <c r="I853" s="29">
        <f>63775</f>
        <v>63775</v>
      </c>
      <c r="J853" s="80"/>
      <c r="K853" s="29">
        <f t="shared" si="57"/>
        <v>63775</v>
      </c>
      <c r="L853" s="127"/>
      <c r="M853" s="95"/>
    </row>
    <row r="854" spans="1:13" s="15" customFormat="1" ht="15" customHeight="1" hidden="1">
      <c r="A854" s="407"/>
      <c r="C854" s="151"/>
      <c r="D854" s="444" t="s">
        <v>9</v>
      </c>
      <c r="E854" s="444"/>
      <c r="F854" s="444"/>
      <c r="G854" s="444"/>
      <c r="H854" s="444"/>
      <c r="I854" s="29"/>
      <c r="J854" s="77"/>
      <c r="K854" s="29">
        <f t="shared" si="57"/>
        <v>0</v>
      </c>
      <c r="L854" s="127"/>
      <c r="M854" s="95"/>
    </row>
    <row r="855" spans="1:13" s="15" customFormat="1" ht="12" customHeight="1">
      <c r="A855" s="407"/>
      <c r="C855" s="149"/>
      <c r="D855" s="444" t="s">
        <v>11</v>
      </c>
      <c r="E855" s="444"/>
      <c r="F855" s="444"/>
      <c r="G855" s="444"/>
      <c r="H855" s="444"/>
      <c r="I855" s="29">
        <f>157770</f>
        <v>157770</v>
      </c>
      <c r="J855" s="80">
        <f>-139849</f>
        <v>-139849</v>
      </c>
      <c r="K855" s="29">
        <f t="shared" si="57"/>
        <v>17921</v>
      </c>
      <c r="L855" s="127"/>
      <c r="M855" s="95"/>
    </row>
    <row r="856" spans="1:13" s="15" customFormat="1" ht="15" customHeight="1" hidden="1">
      <c r="A856" s="407"/>
      <c r="C856" s="151"/>
      <c r="D856" s="444" t="s">
        <v>12</v>
      </c>
      <c r="E856" s="444"/>
      <c r="F856" s="444"/>
      <c r="G856" s="444"/>
      <c r="H856" s="444"/>
      <c r="I856" s="29"/>
      <c r="J856" s="77"/>
      <c r="K856" s="29">
        <f t="shared" si="57"/>
        <v>0</v>
      </c>
      <c r="L856" s="127"/>
      <c r="M856" s="95"/>
    </row>
    <row r="857" spans="1:13" s="15" customFormat="1" ht="15" customHeight="1">
      <c r="A857" s="407"/>
      <c r="C857" s="151"/>
      <c r="D857" s="445" t="s">
        <v>277</v>
      </c>
      <c r="E857" s="445"/>
      <c r="F857" s="445"/>
      <c r="G857" s="445"/>
      <c r="H857" s="445"/>
      <c r="I857" s="77">
        <f>I846-I850</f>
        <v>0</v>
      </c>
      <c r="J857" s="77">
        <f>J846-J850</f>
        <v>0</v>
      </c>
      <c r="K857" s="77">
        <f>K846-K850</f>
        <v>0</v>
      </c>
      <c r="L857" s="127"/>
      <c r="M857" s="95"/>
    </row>
    <row r="858" spans="1:13" s="15" customFormat="1" ht="12" customHeight="1">
      <c r="A858" s="407"/>
      <c r="C858" s="151"/>
      <c r="D858" s="444" t="s">
        <v>279</v>
      </c>
      <c r="E858" s="444"/>
      <c r="F858" s="444"/>
      <c r="G858" s="444"/>
      <c r="H858" s="444"/>
      <c r="I858" s="29">
        <f>I859+I860+I861</f>
        <v>0</v>
      </c>
      <c r="J858" s="29">
        <f>J859+J860+J861</f>
        <v>0</v>
      </c>
      <c r="K858" s="29">
        <f>K859+K860+K861</f>
        <v>0</v>
      </c>
      <c r="L858" s="127"/>
      <c r="M858" s="95"/>
    </row>
    <row r="859" spans="1:13" s="15" customFormat="1" ht="15" customHeight="1" hidden="1">
      <c r="A859" s="407"/>
      <c r="C859" s="151"/>
      <c r="D859" s="444" t="s">
        <v>278</v>
      </c>
      <c r="E859" s="444"/>
      <c r="F859" s="444"/>
      <c r="G859" s="444"/>
      <c r="H859" s="444"/>
      <c r="I859" s="29"/>
      <c r="J859" s="77"/>
      <c r="K859" s="80">
        <f>SUM(I859:J859)</f>
        <v>0</v>
      </c>
      <c r="L859" s="127"/>
      <c r="M859" s="95"/>
    </row>
    <row r="860" spans="1:13" s="15" customFormat="1" ht="15" customHeight="1" hidden="1">
      <c r="A860" s="407"/>
      <c r="C860" s="151"/>
      <c r="D860" s="444" t="s">
        <v>280</v>
      </c>
      <c r="E860" s="444"/>
      <c r="F860" s="444"/>
      <c r="G860" s="444"/>
      <c r="H860" s="444"/>
      <c r="I860" s="29"/>
      <c r="J860" s="77"/>
      <c r="K860" s="80">
        <f>SUM(I860:J860)</f>
        <v>0</v>
      </c>
      <c r="L860" s="127"/>
      <c r="M860" s="95"/>
    </row>
    <row r="861" spans="1:13" s="15" customFormat="1" ht="15" customHeight="1" hidden="1">
      <c r="A861" s="407"/>
      <c r="C861" s="151"/>
      <c r="D861" s="444" t="s">
        <v>281</v>
      </c>
      <c r="E861" s="444"/>
      <c r="F861" s="444"/>
      <c r="G861" s="444"/>
      <c r="H861" s="444"/>
      <c r="I861" s="29"/>
      <c r="J861" s="77"/>
      <c r="K861" s="80">
        <f>SUM(I861:J861)</f>
        <v>0</v>
      </c>
      <c r="L861" s="127"/>
      <c r="M861" s="95"/>
    </row>
    <row r="862" spans="1:13" s="15" customFormat="1" ht="9" customHeight="1">
      <c r="A862" s="407"/>
      <c r="C862" s="149"/>
      <c r="D862" s="81"/>
      <c r="E862" s="81"/>
      <c r="F862" s="81"/>
      <c r="G862" s="81"/>
      <c r="H862" s="81"/>
      <c r="I862" s="29"/>
      <c r="J862" s="80"/>
      <c r="K862" s="29"/>
      <c r="L862" s="127"/>
      <c r="M862" s="95"/>
    </row>
    <row r="863" spans="1:13" s="15" customFormat="1" ht="23.25" customHeight="1">
      <c r="A863" s="407"/>
      <c r="C863" s="153" t="s">
        <v>97</v>
      </c>
      <c r="D863" s="436" t="s">
        <v>524</v>
      </c>
      <c r="E863" s="436"/>
      <c r="F863" s="436"/>
      <c r="G863" s="436"/>
      <c r="H863" s="436"/>
      <c r="I863" s="129"/>
      <c r="J863" s="127"/>
      <c r="K863" s="129"/>
      <c r="L863" s="127"/>
      <c r="M863" s="95"/>
    </row>
    <row r="864" spans="1:13" s="15" customFormat="1" ht="13.5" customHeight="1">
      <c r="A864" s="407"/>
      <c r="C864" s="149"/>
      <c r="D864" s="447" t="s">
        <v>37</v>
      </c>
      <c r="E864" s="447"/>
      <c r="F864" s="447"/>
      <c r="G864" s="447"/>
      <c r="H864" s="447"/>
      <c r="I864" s="77">
        <f>SUM(I865:I867)</f>
        <v>130824</v>
      </c>
      <c r="J864" s="77">
        <f>SUM(J865:J867)</f>
        <v>16173</v>
      </c>
      <c r="K864" s="77">
        <f>SUM(K865:K867)</f>
        <v>146997</v>
      </c>
      <c r="L864" s="127"/>
      <c r="M864" s="95"/>
    </row>
    <row r="865" spans="1:13" s="15" customFormat="1" ht="13.5" customHeight="1">
      <c r="A865" s="407"/>
      <c r="C865" s="149"/>
      <c r="D865" s="446" t="s">
        <v>5</v>
      </c>
      <c r="E865" s="446"/>
      <c r="F865" s="446"/>
      <c r="G865" s="446"/>
      <c r="H865" s="446"/>
      <c r="I865" s="29">
        <f>130824</f>
        <v>130824</v>
      </c>
      <c r="J865" s="80">
        <f>15000+1173</f>
        <v>16173</v>
      </c>
      <c r="K865" s="29">
        <f>SUM(I865:J865)</f>
        <v>146997</v>
      </c>
      <c r="L865" s="127"/>
      <c r="M865" s="95"/>
    </row>
    <row r="866" spans="1:13" s="15" customFormat="1" ht="14.25" customHeight="1" hidden="1">
      <c r="A866" s="407"/>
      <c r="C866" s="149"/>
      <c r="D866" s="446" t="s">
        <v>6</v>
      </c>
      <c r="E866" s="446"/>
      <c r="F866" s="446"/>
      <c r="G866" s="446"/>
      <c r="H866" s="446"/>
      <c r="I866" s="77"/>
      <c r="J866" s="80"/>
      <c r="K866" s="29">
        <f>SUM(I866:J866)</f>
        <v>0</v>
      </c>
      <c r="L866" s="127"/>
      <c r="M866" s="95"/>
    </row>
    <row r="867" spans="1:13" s="15" customFormat="1" ht="14.25" customHeight="1" hidden="1">
      <c r="A867" s="407"/>
      <c r="C867" s="149"/>
      <c r="D867" s="446" t="s">
        <v>7</v>
      </c>
      <c r="E867" s="446"/>
      <c r="F867" s="446"/>
      <c r="G867" s="446"/>
      <c r="H867" s="446"/>
      <c r="I867" s="29"/>
      <c r="J867" s="80"/>
      <c r="K867" s="29">
        <f>SUM(I867:J867)</f>
        <v>0</v>
      </c>
      <c r="L867" s="127"/>
      <c r="M867" s="95"/>
    </row>
    <row r="868" spans="1:13" s="15" customFormat="1" ht="12.75" customHeight="1">
      <c r="A868" s="407"/>
      <c r="C868" s="149"/>
      <c r="D868" s="447" t="s">
        <v>38</v>
      </c>
      <c r="E868" s="447"/>
      <c r="F868" s="447"/>
      <c r="G868" s="447"/>
      <c r="H868" s="447"/>
      <c r="I868" s="254">
        <f>SUM(I869:I874)</f>
        <v>130824</v>
      </c>
      <c r="J868" s="254">
        <f>SUM(J869:J874)</f>
        <v>16173</v>
      </c>
      <c r="K868" s="254">
        <f>SUM(K869:K874)</f>
        <v>146997</v>
      </c>
      <c r="L868" s="127"/>
      <c r="M868" s="95"/>
    </row>
    <row r="869" spans="1:13" s="15" customFormat="1" ht="12" customHeight="1">
      <c r="A869" s="407"/>
      <c r="C869" s="149"/>
      <c r="D869" s="446" t="s">
        <v>289</v>
      </c>
      <c r="E869" s="446"/>
      <c r="F869" s="446"/>
      <c r="G869" s="446"/>
      <c r="H869" s="446"/>
      <c r="I869" s="29">
        <f>108354</f>
        <v>108354</v>
      </c>
      <c r="J869" s="80">
        <f>1173</f>
        <v>1173</v>
      </c>
      <c r="K869" s="29">
        <f aca="true" t="shared" si="58" ref="K869:K874">SUM(I869:J869)</f>
        <v>109527</v>
      </c>
      <c r="L869" s="127"/>
      <c r="M869" s="95"/>
    </row>
    <row r="870" spans="1:13" s="15" customFormat="1" ht="13.5" customHeight="1">
      <c r="A870" s="407"/>
      <c r="C870" s="149"/>
      <c r="D870" s="444" t="s">
        <v>8</v>
      </c>
      <c r="E870" s="444"/>
      <c r="F870" s="444"/>
      <c r="G870" s="444"/>
      <c r="H870" s="444"/>
      <c r="I870" s="29">
        <f>22470</f>
        <v>22470</v>
      </c>
      <c r="J870" s="80"/>
      <c r="K870" s="29">
        <f t="shared" si="58"/>
        <v>22470</v>
      </c>
      <c r="L870" s="127"/>
      <c r="M870" s="95"/>
    </row>
    <row r="871" spans="1:13" s="15" customFormat="1" ht="13.5" customHeight="1" hidden="1">
      <c r="A871" s="407"/>
      <c r="C871" s="149"/>
      <c r="D871" s="444" t="s">
        <v>10</v>
      </c>
      <c r="E871" s="444"/>
      <c r="F871" s="444"/>
      <c r="G871" s="444"/>
      <c r="H871" s="444"/>
      <c r="I871" s="29"/>
      <c r="J871" s="80"/>
      <c r="K871" s="29">
        <f t="shared" si="58"/>
        <v>0</v>
      </c>
      <c r="L871" s="127"/>
      <c r="M871" s="95"/>
    </row>
    <row r="872" spans="1:13" s="15" customFormat="1" ht="13.5" customHeight="1" hidden="1">
      <c r="A872" s="407"/>
      <c r="C872" s="151"/>
      <c r="D872" s="444" t="s">
        <v>9</v>
      </c>
      <c r="E872" s="444"/>
      <c r="F872" s="444"/>
      <c r="G872" s="444"/>
      <c r="H872" s="444"/>
      <c r="I872" s="29"/>
      <c r="J872" s="77"/>
      <c r="K872" s="29">
        <f t="shared" si="58"/>
        <v>0</v>
      </c>
      <c r="L872" s="127"/>
      <c r="M872" s="95"/>
    </row>
    <row r="873" spans="1:13" s="15" customFormat="1" ht="12.75" customHeight="1">
      <c r="A873" s="407"/>
      <c r="C873" s="149"/>
      <c r="D873" s="444" t="s">
        <v>11</v>
      </c>
      <c r="E873" s="444"/>
      <c r="F873" s="444"/>
      <c r="G873" s="444"/>
      <c r="H873" s="444"/>
      <c r="I873" s="29"/>
      <c r="J873" s="80">
        <v>15000</v>
      </c>
      <c r="K873" s="29">
        <f t="shared" si="58"/>
        <v>15000</v>
      </c>
      <c r="L873" s="127"/>
      <c r="M873" s="95"/>
    </row>
    <row r="874" spans="1:13" s="15" customFormat="1" ht="13.5" customHeight="1" hidden="1">
      <c r="A874" s="407"/>
      <c r="C874" s="151"/>
      <c r="D874" s="444" t="s">
        <v>12</v>
      </c>
      <c r="E874" s="444"/>
      <c r="F874" s="444"/>
      <c r="G874" s="444"/>
      <c r="H874" s="444"/>
      <c r="I874" s="29"/>
      <c r="J874" s="77"/>
      <c r="K874" s="29">
        <f t="shared" si="58"/>
        <v>0</v>
      </c>
      <c r="L874" s="127"/>
      <c r="M874" s="95"/>
    </row>
    <row r="875" spans="1:13" s="15" customFormat="1" ht="13.5" customHeight="1">
      <c r="A875" s="407"/>
      <c r="C875" s="151"/>
      <c r="D875" s="445" t="s">
        <v>277</v>
      </c>
      <c r="E875" s="445"/>
      <c r="F875" s="445"/>
      <c r="G875" s="445"/>
      <c r="H875" s="445"/>
      <c r="I875" s="77">
        <f>I864-I868</f>
        <v>0</v>
      </c>
      <c r="J875" s="77">
        <f>J864-J868</f>
        <v>0</v>
      </c>
      <c r="K875" s="77">
        <f>K864-K868</f>
        <v>0</v>
      </c>
      <c r="L875" s="127"/>
      <c r="M875" s="95"/>
    </row>
    <row r="876" spans="1:13" s="15" customFormat="1" ht="13.5" customHeight="1">
      <c r="A876" s="407"/>
      <c r="C876" s="151"/>
      <c r="D876" s="444" t="s">
        <v>279</v>
      </c>
      <c r="E876" s="444"/>
      <c r="F876" s="444"/>
      <c r="G876" s="444"/>
      <c r="H876" s="444"/>
      <c r="I876" s="29">
        <f>I877+I878+I879</f>
        <v>0</v>
      </c>
      <c r="J876" s="29">
        <f>J877+J878+J879</f>
        <v>0</v>
      </c>
      <c r="K876" s="29">
        <f>K877+K878+K879</f>
        <v>0</v>
      </c>
      <c r="L876" s="127"/>
      <c r="M876" s="95"/>
    </row>
    <row r="877" spans="1:13" s="15" customFormat="1" ht="14.25" customHeight="1" hidden="1">
      <c r="A877" s="407"/>
      <c r="C877" s="151"/>
      <c r="D877" s="444" t="s">
        <v>278</v>
      </c>
      <c r="E877" s="444"/>
      <c r="F877" s="444"/>
      <c r="G877" s="444"/>
      <c r="H877" s="444"/>
      <c r="I877" s="29"/>
      <c r="J877" s="77"/>
      <c r="K877" s="80">
        <f>SUM(I877:J877)</f>
        <v>0</v>
      </c>
      <c r="L877" s="127"/>
      <c r="M877" s="95"/>
    </row>
    <row r="878" spans="1:13" s="15" customFormat="1" ht="14.25" customHeight="1" hidden="1">
      <c r="A878" s="407"/>
      <c r="C878" s="151"/>
      <c r="D878" s="444" t="s">
        <v>280</v>
      </c>
      <c r="E878" s="444"/>
      <c r="F878" s="444"/>
      <c r="G878" s="444"/>
      <c r="H878" s="444"/>
      <c r="I878" s="29"/>
      <c r="J878" s="77"/>
      <c r="K878" s="80">
        <f>SUM(I878:J878)</f>
        <v>0</v>
      </c>
      <c r="L878" s="127"/>
      <c r="M878" s="95"/>
    </row>
    <row r="879" spans="1:13" s="15" customFormat="1" ht="14.25" customHeight="1" hidden="1">
      <c r="A879" s="407"/>
      <c r="C879" s="151"/>
      <c r="D879" s="444" t="s">
        <v>281</v>
      </c>
      <c r="E879" s="444"/>
      <c r="F879" s="444"/>
      <c r="G879" s="444"/>
      <c r="H879" s="444"/>
      <c r="I879" s="29"/>
      <c r="J879" s="77"/>
      <c r="K879" s="80">
        <f>SUM(I879:J879)</f>
        <v>0</v>
      </c>
      <c r="L879" s="127"/>
      <c r="M879" s="95"/>
    </row>
    <row r="880" spans="1:13" s="15" customFormat="1" ht="1.5" customHeight="1" hidden="1">
      <c r="A880" s="407"/>
      <c r="C880" s="151"/>
      <c r="D880" s="85"/>
      <c r="E880" s="85"/>
      <c r="F880" s="85"/>
      <c r="G880" s="85"/>
      <c r="H880" s="85"/>
      <c r="I880" s="29"/>
      <c r="J880" s="77"/>
      <c r="K880" s="29"/>
      <c r="L880" s="127"/>
      <c r="M880" s="95"/>
    </row>
    <row r="881" spans="1:13" s="15" customFormat="1" ht="9.75" customHeight="1">
      <c r="A881" s="407"/>
      <c r="C881" s="151"/>
      <c r="D881" s="16"/>
      <c r="E881" s="16"/>
      <c r="F881" s="16"/>
      <c r="G881" s="16"/>
      <c r="H881" s="16"/>
      <c r="I881" s="77"/>
      <c r="J881" s="78"/>
      <c r="K881" s="78"/>
      <c r="L881" s="127"/>
      <c r="M881" s="95"/>
    </row>
    <row r="882" spans="1:13" s="15" customFormat="1" ht="13.5" customHeight="1">
      <c r="A882" s="407"/>
      <c r="C882" s="142" t="s">
        <v>102</v>
      </c>
      <c r="D882" s="450" t="s">
        <v>584</v>
      </c>
      <c r="E882" s="450"/>
      <c r="F882" s="450"/>
      <c r="G882" s="450"/>
      <c r="H882" s="450"/>
      <c r="I882" s="450"/>
      <c r="J882" s="126"/>
      <c r="K882" s="126"/>
      <c r="L882" s="127"/>
      <c r="M882" s="95"/>
    </row>
    <row r="883" spans="1:13" s="15" customFormat="1" ht="13.5" customHeight="1">
      <c r="A883" s="407"/>
      <c r="C883" s="154"/>
      <c r="D883" s="447" t="s">
        <v>37</v>
      </c>
      <c r="E883" s="447"/>
      <c r="F883" s="447"/>
      <c r="G883" s="447"/>
      <c r="H883" s="447"/>
      <c r="I883" s="77">
        <f>SUM(I884:I886)</f>
        <v>133999</v>
      </c>
      <c r="J883" s="77">
        <f>SUM(J884:J886)</f>
        <v>0</v>
      </c>
      <c r="K883" s="77">
        <f>SUM(K884:K886)</f>
        <v>133999</v>
      </c>
      <c r="L883" s="127"/>
      <c r="M883" s="95"/>
    </row>
    <row r="884" spans="1:13" s="15" customFormat="1" ht="12.75" customHeight="1">
      <c r="A884" s="407"/>
      <c r="C884" s="154"/>
      <c r="D884" s="446" t="s">
        <v>5</v>
      </c>
      <c r="E884" s="446"/>
      <c r="F884" s="446"/>
      <c r="G884" s="446"/>
      <c r="H884" s="446"/>
      <c r="I884" s="29">
        <f>130000+3999</f>
        <v>133999</v>
      </c>
      <c r="J884" s="80"/>
      <c r="K884" s="80">
        <f>SUM(I884:J884)</f>
        <v>133999</v>
      </c>
      <c r="L884" s="127"/>
      <c r="M884" s="95"/>
    </row>
    <row r="885" spans="1:13" s="15" customFormat="1" ht="13.5" customHeight="1" hidden="1">
      <c r="A885" s="407"/>
      <c r="C885" s="154"/>
      <c r="D885" s="446" t="s">
        <v>6</v>
      </c>
      <c r="E885" s="446"/>
      <c r="F885" s="446"/>
      <c r="G885" s="446"/>
      <c r="H885" s="446"/>
      <c r="I885" s="29"/>
      <c r="J885" s="78"/>
      <c r="K885" s="80">
        <f>SUM(I885:J885)</f>
        <v>0</v>
      </c>
      <c r="L885" s="127"/>
      <c r="M885" s="95"/>
    </row>
    <row r="886" spans="1:13" s="15" customFormat="1" ht="13.5" customHeight="1" hidden="1">
      <c r="A886" s="407"/>
      <c r="C886" s="154"/>
      <c r="D886" s="446" t="s">
        <v>7</v>
      </c>
      <c r="E886" s="446"/>
      <c r="F886" s="446"/>
      <c r="G886" s="446"/>
      <c r="H886" s="446"/>
      <c r="I886" s="29"/>
      <c r="J886" s="78"/>
      <c r="K886" s="80">
        <f>SUM(I886:J886)</f>
        <v>0</v>
      </c>
      <c r="L886" s="127"/>
      <c r="M886" s="95"/>
    </row>
    <row r="887" spans="1:13" s="15" customFormat="1" ht="13.5" customHeight="1">
      <c r="A887" s="407"/>
      <c r="C887" s="154"/>
      <c r="D887" s="447" t="s">
        <v>38</v>
      </c>
      <c r="E887" s="447"/>
      <c r="F887" s="447"/>
      <c r="G887" s="447"/>
      <c r="H887" s="447"/>
      <c r="I887" s="253">
        <f>SUM(I888:I893)</f>
        <v>133999</v>
      </c>
      <c r="J887" s="253">
        <f>SUM(J888:J893)</f>
        <v>0</v>
      </c>
      <c r="K887" s="253">
        <f>SUM(K888:K893)</f>
        <v>133999</v>
      </c>
      <c r="L887" s="127"/>
      <c r="M887" s="95"/>
    </row>
    <row r="888" spans="1:13" s="15" customFormat="1" ht="13.5" customHeight="1" hidden="1">
      <c r="A888" s="407"/>
      <c r="C888" s="154"/>
      <c r="D888" s="446" t="s">
        <v>289</v>
      </c>
      <c r="E888" s="446"/>
      <c r="F888" s="446"/>
      <c r="G888" s="446"/>
      <c r="H888" s="446"/>
      <c r="I888" s="29"/>
      <c r="J888" s="80"/>
      <c r="K888" s="80">
        <f aca="true" t="shared" si="59" ref="K888:K893">SUM(I888:J888)</f>
        <v>0</v>
      </c>
      <c r="L888" s="127"/>
      <c r="M888" s="95"/>
    </row>
    <row r="889" spans="1:13" s="15" customFormat="1" ht="13.5" customHeight="1">
      <c r="A889" s="407"/>
      <c r="C889" s="154"/>
      <c r="D889" s="444" t="s">
        <v>8</v>
      </c>
      <c r="E889" s="448"/>
      <c r="F889" s="448"/>
      <c r="G889" s="448"/>
      <c r="H889" s="448"/>
      <c r="I889" s="29">
        <f>105000+3999</f>
        <v>108999</v>
      </c>
      <c r="J889" s="80"/>
      <c r="K889" s="80">
        <f t="shared" si="59"/>
        <v>108999</v>
      </c>
      <c r="L889" s="127"/>
      <c r="M889" s="95"/>
    </row>
    <row r="890" spans="1:13" s="15" customFormat="1" ht="13.5" customHeight="1" hidden="1">
      <c r="A890" s="407"/>
      <c r="C890" s="154"/>
      <c r="D890" s="444" t="s">
        <v>10</v>
      </c>
      <c r="E890" s="444"/>
      <c r="F890" s="444"/>
      <c r="G890" s="444"/>
      <c r="H890" s="444"/>
      <c r="I890" s="29"/>
      <c r="J890" s="78"/>
      <c r="K890" s="80">
        <f t="shared" si="59"/>
        <v>0</v>
      </c>
      <c r="L890" s="127"/>
      <c r="M890" s="95"/>
    </row>
    <row r="891" spans="1:13" s="79" customFormat="1" ht="13.5" customHeight="1" hidden="1">
      <c r="A891" s="407"/>
      <c r="C891" s="151"/>
      <c r="D891" s="444" t="s">
        <v>9</v>
      </c>
      <c r="E891" s="444"/>
      <c r="F891" s="444"/>
      <c r="G891" s="444"/>
      <c r="H891" s="444"/>
      <c r="I891" s="29"/>
      <c r="J891" s="77"/>
      <c r="K891" s="80">
        <f t="shared" si="59"/>
        <v>0</v>
      </c>
      <c r="L891" s="80"/>
      <c r="M891" s="82"/>
    </row>
    <row r="892" spans="1:12" s="82" customFormat="1" ht="13.5" customHeight="1">
      <c r="A892" s="407"/>
      <c r="C892" s="149"/>
      <c r="D892" s="444" t="s">
        <v>11</v>
      </c>
      <c r="E892" s="444"/>
      <c r="F892" s="444"/>
      <c r="G892" s="444"/>
      <c r="H892" s="444"/>
      <c r="I892" s="29">
        <v>25000</v>
      </c>
      <c r="J892" s="80"/>
      <c r="K892" s="80">
        <f t="shared" si="59"/>
        <v>25000</v>
      </c>
      <c r="L892" s="80"/>
    </row>
    <row r="893" spans="1:13" s="79" customFormat="1" ht="13.5" customHeight="1" hidden="1">
      <c r="A893" s="407"/>
      <c r="C893" s="151"/>
      <c r="D893" s="444" t="s">
        <v>12</v>
      </c>
      <c r="E893" s="444"/>
      <c r="F893" s="444"/>
      <c r="G893" s="444"/>
      <c r="H893" s="444"/>
      <c r="I893" s="29"/>
      <c r="J893" s="77"/>
      <c r="K893" s="80">
        <f t="shared" si="59"/>
        <v>0</v>
      </c>
      <c r="L893" s="80"/>
      <c r="M893" s="82"/>
    </row>
    <row r="894" spans="1:13" s="79" customFormat="1" ht="13.5" customHeight="1">
      <c r="A894" s="407"/>
      <c r="C894" s="151"/>
      <c r="D894" s="445" t="s">
        <v>277</v>
      </c>
      <c r="E894" s="445"/>
      <c r="F894" s="445"/>
      <c r="G894" s="445"/>
      <c r="H894" s="445"/>
      <c r="I894" s="77">
        <f>I883-I887</f>
        <v>0</v>
      </c>
      <c r="J894" s="77">
        <f>J883-J887</f>
        <v>0</v>
      </c>
      <c r="K894" s="77">
        <f>K883-K887</f>
        <v>0</v>
      </c>
      <c r="L894" s="80"/>
      <c r="M894" s="82"/>
    </row>
    <row r="895" spans="1:13" s="79" customFormat="1" ht="13.5" customHeight="1">
      <c r="A895" s="407"/>
      <c r="C895" s="151"/>
      <c r="D895" s="444" t="s">
        <v>279</v>
      </c>
      <c r="E895" s="444"/>
      <c r="F895" s="444"/>
      <c r="G895" s="444"/>
      <c r="H895" s="444"/>
      <c r="I895" s="29">
        <f>I896+I897+I898</f>
        <v>0</v>
      </c>
      <c r="J895" s="29">
        <f>J896+J897+J898</f>
        <v>0</v>
      </c>
      <c r="K895" s="29">
        <f>K896+K897+K898</f>
        <v>0</v>
      </c>
      <c r="L895" s="80"/>
      <c r="M895" s="82"/>
    </row>
    <row r="896" spans="1:13" s="79" customFormat="1" ht="13.5" customHeight="1" hidden="1">
      <c r="A896" s="407"/>
      <c r="C896" s="151"/>
      <c r="D896" s="444" t="s">
        <v>278</v>
      </c>
      <c r="E896" s="444"/>
      <c r="F896" s="444"/>
      <c r="G896" s="444"/>
      <c r="H896" s="444"/>
      <c r="I896" s="29"/>
      <c r="J896" s="77"/>
      <c r="K896" s="80">
        <f>SUM(I896:J896)</f>
        <v>0</v>
      </c>
      <c r="L896" s="80"/>
      <c r="M896" s="82"/>
    </row>
    <row r="897" spans="1:13" s="79" customFormat="1" ht="13.5" customHeight="1" hidden="1">
      <c r="A897" s="407"/>
      <c r="C897" s="151"/>
      <c r="D897" s="444" t="s">
        <v>280</v>
      </c>
      <c r="E897" s="444"/>
      <c r="F897" s="444"/>
      <c r="G897" s="444"/>
      <c r="H897" s="444"/>
      <c r="I897" s="29"/>
      <c r="J897" s="77"/>
      <c r="K897" s="80">
        <f>SUM(I897:J897)</f>
        <v>0</v>
      </c>
      <c r="L897" s="80"/>
      <c r="M897" s="82"/>
    </row>
    <row r="898" spans="1:13" s="79" customFormat="1" ht="13.5" customHeight="1" hidden="1">
      <c r="A898" s="407"/>
      <c r="C898" s="151"/>
      <c r="D898" s="444" t="s">
        <v>281</v>
      </c>
      <c r="E898" s="444"/>
      <c r="F898" s="444"/>
      <c r="G898" s="444"/>
      <c r="H898" s="444"/>
      <c r="I898" s="29"/>
      <c r="J898" s="77"/>
      <c r="K898" s="80">
        <f>SUM(I898:J898)</f>
        <v>0</v>
      </c>
      <c r="L898" s="80"/>
      <c r="M898" s="82"/>
    </row>
    <row r="899" spans="1:13" s="79" customFormat="1" ht="2.25" customHeight="1" hidden="1">
      <c r="A899" s="407"/>
      <c r="C899" s="151"/>
      <c r="D899" s="85"/>
      <c r="E899" s="85"/>
      <c r="F899" s="85"/>
      <c r="G899" s="85"/>
      <c r="H899" s="85"/>
      <c r="I899" s="29"/>
      <c r="J899" s="77"/>
      <c r="K899" s="80"/>
      <c r="L899" s="80"/>
      <c r="M899" s="82"/>
    </row>
    <row r="900" spans="1:13" s="79" customFormat="1" ht="4.5" customHeight="1">
      <c r="A900" s="407"/>
      <c r="C900" s="151"/>
      <c r="D900" s="85"/>
      <c r="E900" s="85"/>
      <c r="F900" s="85"/>
      <c r="G900" s="85"/>
      <c r="H900" s="85"/>
      <c r="I900" s="29"/>
      <c r="J900" s="77"/>
      <c r="K900" s="77"/>
      <c r="L900" s="80"/>
      <c r="M900" s="82"/>
    </row>
    <row r="901" spans="1:13" s="141" customFormat="1" ht="23.25" customHeight="1">
      <c r="A901" s="413"/>
      <c r="C901" s="142" t="s">
        <v>102</v>
      </c>
      <c r="D901" s="435" t="s">
        <v>267</v>
      </c>
      <c r="E901" s="435"/>
      <c r="F901" s="435"/>
      <c r="G901" s="435"/>
      <c r="H901" s="435"/>
      <c r="I901" s="125"/>
      <c r="J901" s="140"/>
      <c r="K901" s="140"/>
      <c r="L901" s="259"/>
      <c r="M901" s="262"/>
    </row>
    <row r="902" spans="1:13" s="15" customFormat="1" ht="13.5" customHeight="1">
      <c r="A902" s="407"/>
      <c r="C902" s="154"/>
      <c r="D902" s="447" t="s">
        <v>37</v>
      </c>
      <c r="E902" s="447"/>
      <c r="F902" s="447"/>
      <c r="G902" s="447"/>
      <c r="H902" s="447"/>
      <c r="I902" s="77">
        <f>SUM(I903:I905)</f>
        <v>200000</v>
      </c>
      <c r="J902" s="77">
        <f>SUM(J903:J905)</f>
        <v>-150000</v>
      </c>
      <c r="K902" s="77">
        <f>SUM(K903:K905)</f>
        <v>50000</v>
      </c>
      <c r="L902" s="127"/>
      <c r="M902" s="95"/>
    </row>
    <row r="903" spans="1:13" s="15" customFormat="1" ht="13.5" customHeight="1">
      <c r="A903" s="407"/>
      <c r="C903" s="154"/>
      <c r="D903" s="446" t="s">
        <v>5</v>
      </c>
      <c r="E903" s="446"/>
      <c r="F903" s="446"/>
      <c r="G903" s="446"/>
      <c r="H903" s="446"/>
      <c r="I903" s="29">
        <v>200000</v>
      </c>
      <c r="J903" s="80">
        <v>-150000</v>
      </c>
      <c r="K903" s="80">
        <f>SUM(I903:J903)</f>
        <v>50000</v>
      </c>
      <c r="L903" s="127"/>
      <c r="M903" s="95"/>
    </row>
    <row r="904" spans="1:13" s="15" customFormat="1" ht="13.5" customHeight="1" hidden="1">
      <c r="A904" s="407"/>
      <c r="C904" s="154"/>
      <c r="D904" s="446" t="s">
        <v>6</v>
      </c>
      <c r="E904" s="446"/>
      <c r="F904" s="446"/>
      <c r="G904" s="446"/>
      <c r="H904" s="446"/>
      <c r="I904" s="29"/>
      <c r="J904" s="80"/>
      <c r="K904" s="80">
        <f>SUM(I904:J904)</f>
        <v>0</v>
      </c>
      <c r="L904" s="127"/>
      <c r="M904" s="95"/>
    </row>
    <row r="905" spans="1:13" s="15" customFormat="1" ht="13.5" customHeight="1" hidden="1">
      <c r="A905" s="407"/>
      <c r="C905" s="154"/>
      <c r="D905" s="446" t="s">
        <v>7</v>
      </c>
      <c r="E905" s="446"/>
      <c r="F905" s="446"/>
      <c r="G905" s="446"/>
      <c r="H905" s="446"/>
      <c r="I905" s="29"/>
      <c r="J905" s="78"/>
      <c r="K905" s="80">
        <f>SUM(I905:J905)</f>
        <v>0</v>
      </c>
      <c r="L905" s="127"/>
      <c r="M905" s="95"/>
    </row>
    <row r="906" spans="1:13" s="15" customFormat="1" ht="13.5" customHeight="1">
      <c r="A906" s="407"/>
      <c r="C906" s="154"/>
      <c r="D906" s="447" t="s">
        <v>38</v>
      </c>
      <c r="E906" s="447"/>
      <c r="F906" s="447"/>
      <c r="G906" s="447"/>
      <c r="H906" s="447"/>
      <c r="I906" s="253">
        <f>SUM(I907:I912)</f>
        <v>200000</v>
      </c>
      <c r="J906" s="253">
        <f>SUM(J907:J912)</f>
        <v>-150000</v>
      </c>
      <c r="K906" s="253">
        <f>SUM(K907:K912)</f>
        <v>50000</v>
      </c>
      <c r="L906" s="127"/>
      <c r="M906" s="95"/>
    </row>
    <row r="907" spans="1:13" s="79" customFormat="1" ht="13.5" customHeight="1" hidden="1">
      <c r="A907" s="407"/>
      <c r="C907" s="151"/>
      <c r="D907" s="446" t="s">
        <v>289</v>
      </c>
      <c r="E907" s="446"/>
      <c r="F907" s="446"/>
      <c r="G907" s="446"/>
      <c r="H907" s="446"/>
      <c r="I907" s="29"/>
      <c r="J907" s="80"/>
      <c r="K907" s="29">
        <f aca="true" t="shared" si="60" ref="K907:K912">SUM(I907:J907)</f>
        <v>0</v>
      </c>
      <c r="L907" s="80"/>
      <c r="M907" s="82"/>
    </row>
    <row r="908" spans="1:13" s="79" customFormat="1" ht="13.5" customHeight="1">
      <c r="A908" s="407"/>
      <c r="C908" s="151"/>
      <c r="D908" s="444" t="s">
        <v>8</v>
      </c>
      <c r="E908" s="448"/>
      <c r="F908" s="448"/>
      <c r="G908" s="448"/>
      <c r="H908" s="448"/>
      <c r="I908" s="29">
        <v>8000</v>
      </c>
      <c r="J908" s="77"/>
      <c r="K908" s="29">
        <f t="shared" si="60"/>
        <v>8000</v>
      </c>
      <c r="L908" s="80"/>
      <c r="M908" s="82"/>
    </row>
    <row r="909" spans="1:12" s="82" customFormat="1" ht="13.5" customHeight="1" hidden="1">
      <c r="A909" s="407"/>
      <c r="C909" s="149"/>
      <c r="D909" s="444" t="s">
        <v>10</v>
      </c>
      <c r="E909" s="444"/>
      <c r="F909" s="444"/>
      <c r="G909" s="444"/>
      <c r="H909" s="444"/>
      <c r="I909" s="29"/>
      <c r="J909" s="80"/>
      <c r="K909" s="29">
        <f t="shared" si="60"/>
        <v>0</v>
      </c>
      <c r="L909" s="80"/>
    </row>
    <row r="910" spans="1:12" s="82" customFormat="1" ht="13.5" customHeight="1" hidden="1">
      <c r="A910" s="407"/>
      <c r="C910" s="149"/>
      <c r="D910" s="444" t="s">
        <v>9</v>
      </c>
      <c r="E910" s="444"/>
      <c r="F910" s="444"/>
      <c r="G910" s="444"/>
      <c r="H910" s="444"/>
      <c r="I910" s="29"/>
      <c r="J910" s="80"/>
      <c r="K910" s="29">
        <f t="shared" si="60"/>
        <v>0</v>
      </c>
      <c r="L910" s="80"/>
    </row>
    <row r="911" spans="1:13" s="79" customFormat="1" ht="13.5" customHeight="1">
      <c r="A911" s="407"/>
      <c r="C911" s="151"/>
      <c r="D911" s="444" t="s">
        <v>11</v>
      </c>
      <c r="E911" s="444"/>
      <c r="F911" s="444"/>
      <c r="G911" s="444"/>
      <c r="H911" s="444"/>
      <c r="I911" s="29">
        <v>192000</v>
      </c>
      <c r="J911" s="80">
        <f>-150000</f>
        <v>-150000</v>
      </c>
      <c r="K911" s="29">
        <f t="shared" si="60"/>
        <v>42000</v>
      </c>
      <c r="L911" s="80"/>
      <c r="M911" s="82"/>
    </row>
    <row r="912" spans="1:12" s="82" customFormat="1" ht="13.5" customHeight="1" hidden="1">
      <c r="A912" s="407"/>
      <c r="C912" s="149"/>
      <c r="D912" s="444" t="s">
        <v>12</v>
      </c>
      <c r="E912" s="444"/>
      <c r="F912" s="444"/>
      <c r="G912" s="444"/>
      <c r="H912" s="444"/>
      <c r="I912" s="29"/>
      <c r="J912" s="80"/>
      <c r="K912" s="29">
        <f t="shared" si="60"/>
        <v>0</v>
      </c>
      <c r="L912" s="80"/>
    </row>
    <row r="913" spans="1:12" s="82" customFormat="1" ht="13.5" customHeight="1">
      <c r="A913" s="407"/>
      <c r="C913" s="149"/>
      <c r="D913" s="445" t="s">
        <v>277</v>
      </c>
      <c r="E913" s="445"/>
      <c r="F913" s="445"/>
      <c r="G913" s="445"/>
      <c r="H913" s="445"/>
      <c r="I913" s="77">
        <f>I902-I906</f>
        <v>0</v>
      </c>
      <c r="J913" s="77">
        <f>J902-J906</f>
        <v>0</v>
      </c>
      <c r="K913" s="77">
        <f>K902-K906</f>
        <v>0</v>
      </c>
      <c r="L913" s="80"/>
    </row>
    <row r="914" spans="1:12" s="82" customFormat="1" ht="11.25" customHeight="1">
      <c r="A914" s="407"/>
      <c r="C914" s="149"/>
      <c r="D914" s="444" t="s">
        <v>279</v>
      </c>
      <c r="E914" s="444"/>
      <c r="F914" s="444"/>
      <c r="G914" s="444"/>
      <c r="H914" s="444"/>
      <c r="I914" s="29">
        <f>I915+I916+I917</f>
        <v>0</v>
      </c>
      <c r="J914" s="29">
        <f>J915+J916+J917</f>
        <v>0</v>
      </c>
      <c r="K914" s="29">
        <f>K915+K916+K917</f>
        <v>0</v>
      </c>
      <c r="L914" s="80"/>
    </row>
    <row r="915" spans="1:12" s="82" customFormat="1" ht="13.5" customHeight="1" hidden="1">
      <c r="A915" s="407"/>
      <c r="C915" s="149"/>
      <c r="D915" s="444" t="s">
        <v>278</v>
      </c>
      <c r="E915" s="444"/>
      <c r="F915" s="444"/>
      <c r="G915" s="444"/>
      <c r="H915" s="444"/>
      <c r="I915" s="29"/>
      <c r="J915" s="77"/>
      <c r="K915" s="80">
        <f>SUM(I915:J915)</f>
        <v>0</v>
      </c>
      <c r="L915" s="80"/>
    </row>
    <row r="916" spans="1:12" s="82" customFormat="1" ht="13.5" customHeight="1" hidden="1">
      <c r="A916" s="407"/>
      <c r="C916" s="149"/>
      <c r="D916" s="444" t="s">
        <v>280</v>
      </c>
      <c r="E916" s="444"/>
      <c r="F916" s="444"/>
      <c r="G916" s="444"/>
      <c r="H916" s="444"/>
      <c r="I916" s="29"/>
      <c r="J916" s="77"/>
      <c r="K916" s="80">
        <f>SUM(I916:J916)</f>
        <v>0</v>
      </c>
      <c r="L916" s="80"/>
    </row>
    <row r="917" spans="1:12" s="82" customFormat="1" ht="13.5" customHeight="1" hidden="1">
      <c r="A917" s="407"/>
      <c r="C917" s="149"/>
      <c r="D917" s="444" t="s">
        <v>281</v>
      </c>
      <c r="E917" s="444"/>
      <c r="F917" s="444"/>
      <c r="G917" s="444"/>
      <c r="H917" s="444"/>
      <c r="I917" s="29"/>
      <c r="J917" s="77"/>
      <c r="K917" s="80">
        <f>SUM(I917:J917)</f>
        <v>0</v>
      </c>
      <c r="L917" s="80"/>
    </row>
    <row r="918" spans="1:12" s="82" customFormat="1" ht="4.5" customHeight="1">
      <c r="A918" s="407"/>
      <c r="C918" s="149"/>
      <c r="D918" s="85"/>
      <c r="E918" s="85"/>
      <c r="F918" s="85"/>
      <c r="G918" s="85"/>
      <c r="H918" s="85"/>
      <c r="I918" s="29"/>
      <c r="J918" s="80"/>
      <c r="K918" s="29"/>
      <c r="L918" s="80"/>
    </row>
    <row r="919" spans="1:12" s="82" customFormat="1" ht="13.5" customHeight="1" hidden="1">
      <c r="A919" s="407"/>
      <c r="C919" s="149"/>
      <c r="D919" s="85"/>
      <c r="E919" s="85"/>
      <c r="F919" s="85"/>
      <c r="G919" s="85"/>
      <c r="H919" s="85"/>
      <c r="I919" s="29"/>
      <c r="J919" s="29"/>
      <c r="K919" s="29"/>
      <c r="L919" s="80"/>
    </row>
    <row r="920" spans="1:12" s="95" customFormat="1" ht="13.5" customHeight="1">
      <c r="A920" s="407"/>
      <c r="C920" s="159" t="s">
        <v>102</v>
      </c>
      <c r="D920" s="450" t="s">
        <v>2</v>
      </c>
      <c r="E920" s="450"/>
      <c r="F920" s="450"/>
      <c r="G920" s="450"/>
      <c r="H920" s="450"/>
      <c r="I920" s="129"/>
      <c r="J920" s="129"/>
      <c r="K920" s="129"/>
      <c r="L920" s="127"/>
    </row>
    <row r="921" spans="1:12" s="82" customFormat="1" ht="11.25" customHeight="1">
      <c r="A921" s="407"/>
      <c r="C921" s="149"/>
      <c r="D921" s="447" t="s">
        <v>37</v>
      </c>
      <c r="E921" s="447"/>
      <c r="F921" s="447"/>
      <c r="G921" s="447"/>
      <c r="H921" s="447"/>
      <c r="I921" s="77">
        <f>SUM(I922:I924)</f>
        <v>216012</v>
      </c>
      <c r="J921" s="77">
        <f>SUM(J922:J924)</f>
        <v>0</v>
      </c>
      <c r="K921" s="77">
        <f>SUM(K922:K924)</f>
        <v>216012</v>
      </c>
      <c r="L921" s="80"/>
    </row>
    <row r="922" spans="1:12" s="82" customFormat="1" ht="10.5" customHeight="1">
      <c r="A922" s="407"/>
      <c r="C922" s="149"/>
      <c r="D922" s="446" t="s">
        <v>5</v>
      </c>
      <c r="E922" s="446"/>
      <c r="F922" s="446"/>
      <c r="G922" s="446"/>
      <c r="H922" s="446"/>
      <c r="I922" s="29">
        <f>4250</f>
        <v>4250</v>
      </c>
      <c r="J922" s="29"/>
      <c r="K922" s="29">
        <f>SUM(I922:J922)</f>
        <v>4250</v>
      </c>
      <c r="L922" s="80"/>
    </row>
    <row r="923" spans="1:12" s="82" customFormat="1" ht="11.25" customHeight="1" hidden="1">
      <c r="A923" s="407"/>
      <c r="C923" s="149"/>
      <c r="D923" s="446" t="s">
        <v>6</v>
      </c>
      <c r="E923" s="446"/>
      <c r="F923" s="446"/>
      <c r="G923" s="446"/>
      <c r="H923" s="446"/>
      <c r="I923" s="29"/>
      <c r="J923" s="29"/>
      <c r="K923" s="29">
        <f>SUM(I923:J923)</f>
        <v>0</v>
      </c>
      <c r="L923" s="80"/>
    </row>
    <row r="924" spans="1:12" s="82" customFormat="1" ht="11.25" customHeight="1">
      <c r="A924" s="407"/>
      <c r="C924" s="149"/>
      <c r="D924" s="446" t="s">
        <v>7</v>
      </c>
      <c r="E924" s="446"/>
      <c r="F924" s="446"/>
      <c r="G924" s="446"/>
      <c r="H924" s="446"/>
      <c r="I924" s="29">
        <f>211762</f>
        <v>211762</v>
      </c>
      <c r="J924" s="29"/>
      <c r="K924" s="29">
        <f>SUM(I924:J924)</f>
        <v>211762</v>
      </c>
      <c r="L924" s="80"/>
    </row>
    <row r="925" spans="1:12" s="82" customFormat="1" ht="13.5" customHeight="1">
      <c r="A925" s="407"/>
      <c r="C925" s="149"/>
      <c r="D925" s="447" t="s">
        <v>38</v>
      </c>
      <c r="E925" s="447"/>
      <c r="F925" s="447"/>
      <c r="G925" s="447"/>
      <c r="H925" s="447"/>
      <c r="I925" s="253">
        <f>I926+I927+I928+I929+I930+I931</f>
        <v>1469291</v>
      </c>
      <c r="J925" s="253">
        <f>J926+J927+J928+J929+J930+J931</f>
        <v>0</v>
      </c>
      <c r="K925" s="253">
        <f>K926+K927+K928+K929+K930+K931</f>
        <v>1469291</v>
      </c>
      <c r="L925" s="80"/>
    </row>
    <row r="926" spans="1:12" s="82" customFormat="1" ht="13.5" customHeight="1">
      <c r="A926" s="407"/>
      <c r="C926" s="149"/>
      <c r="D926" s="446" t="s">
        <v>289</v>
      </c>
      <c r="E926" s="446"/>
      <c r="F926" s="446"/>
      <c r="G926" s="446"/>
      <c r="H926" s="446"/>
      <c r="I926" s="29">
        <f>4786</f>
        <v>4786</v>
      </c>
      <c r="J926" s="29"/>
      <c r="K926" s="29">
        <f aca="true" t="shared" si="61" ref="K926:K931">SUM(I926:J926)</f>
        <v>4786</v>
      </c>
      <c r="L926" s="80"/>
    </row>
    <row r="927" spans="1:12" s="82" customFormat="1" ht="12.75" customHeight="1">
      <c r="A927" s="407"/>
      <c r="C927" s="149"/>
      <c r="D927" s="444" t="s">
        <v>8</v>
      </c>
      <c r="E927" s="448"/>
      <c r="F927" s="448"/>
      <c r="G927" s="448"/>
      <c r="H927" s="448"/>
      <c r="I927" s="29">
        <f>21566+1200+3990</f>
        <v>26756</v>
      </c>
      <c r="J927" s="29"/>
      <c r="K927" s="29">
        <f t="shared" si="61"/>
        <v>26756</v>
      </c>
      <c r="L927" s="80"/>
    </row>
    <row r="928" spans="1:12" s="82" customFormat="1" ht="13.5" customHeight="1" hidden="1">
      <c r="A928" s="407"/>
      <c r="C928" s="149"/>
      <c r="D928" s="444" t="s">
        <v>10</v>
      </c>
      <c r="E928" s="444"/>
      <c r="F928" s="444"/>
      <c r="G928" s="444"/>
      <c r="H928" s="444"/>
      <c r="I928" s="29"/>
      <c r="J928" s="29"/>
      <c r="K928" s="29">
        <f t="shared" si="61"/>
        <v>0</v>
      </c>
      <c r="L928" s="80"/>
    </row>
    <row r="929" spans="1:12" s="82" customFormat="1" ht="13.5" customHeight="1" hidden="1">
      <c r="A929" s="407"/>
      <c r="C929" s="149"/>
      <c r="D929" s="444" t="s">
        <v>9</v>
      </c>
      <c r="E929" s="444"/>
      <c r="F929" s="444"/>
      <c r="G929" s="444"/>
      <c r="H929" s="444"/>
      <c r="I929" s="29"/>
      <c r="J929" s="29"/>
      <c r="K929" s="29">
        <f t="shared" si="61"/>
        <v>0</v>
      </c>
      <c r="L929" s="80"/>
    </row>
    <row r="930" spans="1:12" s="82" customFormat="1" ht="13.5" customHeight="1">
      <c r="A930" s="407"/>
      <c r="C930" s="149"/>
      <c r="D930" s="444" t="s">
        <v>11</v>
      </c>
      <c r="E930" s="444"/>
      <c r="F930" s="444"/>
      <c r="G930" s="444"/>
      <c r="H930" s="444"/>
      <c r="I930" s="29">
        <f>31460+1406029+260</f>
        <v>1437749</v>
      </c>
      <c r="J930" s="29"/>
      <c r="K930" s="29">
        <f t="shared" si="61"/>
        <v>1437749</v>
      </c>
      <c r="L930" s="80"/>
    </row>
    <row r="931" spans="1:12" s="82" customFormat="1" ht="13.5" customHeight="1" hidden="1">
      <c r="A931" s="407"/>
      <c r="C931" s="149"/>
      <c r="D931" s="444" t="s">
        <v>12</v>
      </c>
      <c r="E931" s="444"/>
      <c r="F931" s="444"/>
      <c r="G931" s="444"/>
      <c r="H931" s="444"/>
      <c r="I931" s="29"/>
      <c r="J931" s="29"/>
      <c r="K931" s="29">
        <f t="shared" si="61"/>
        <v>0</v>
      </c>
      <c r="L931" s="80"/>
    </row>
    <row r="932" spans="1:12" s="82" customFormat="1" ht="13.5" customHeight="1">
      <c r="A932" s="407"/>
      <c r="C932" s="149"/>
      <c r="D932" s="445" t="s">
        <v>277</v>
      </c>
      <c r="E932" s="445"/>
      <c r="F932" s="445"/>
      <c r="G932" s="445"/>
      <c r="H932" s="445"/>
      <c r="I932" s="77">
        <f>I921-I925</f>
        <v>-1253279</v>
      </c>
      <c r="J932" s="77">
        <f>J921-J925</f>
        <v>0</v>
      </c>
      <c r="K932" s="77">
        <f>K921-K925</f>
        <v>-1253279</v>
      </c>
      <c r="L932" s="80"/>
    </row>
    <row r="933" spans="1:12" s="82" customFormat="1" ht="11.25" customHeight="1">
      <c r="A933" s="407"/>
      <c r="C933" s="149"/>
      <c r="D933" s="444" t="s">
        <v>279</v>
      </c>
      <c r="E933" s="444"/>
      <c r="F933" s="444"/>
      <c r="G933" s="444"/>
      <c r="H933" s="444"/>
      <c r="I933" s="29">
        <f>I934+I935+I936</f>
        <v>1253279</v>
      </c>
      <c r="J933" s="29">
        <f>J934+J935+J936</f>
        <v>0</v>
      </c>
      <c r="K933" s="29">
        <f>K934+K935+K936</f>
        <v>1253279</v>
      </c>
      <c r="L933" s="80"/>
    </row>
    <row r="934" spans="1:12" s="82" customFormat="1" ht="11.25" customHeight="1">
      <c r="A934" s="407"/>
      <c r="C934" s="149"/>
      <c r="D934" s="444" t="s">
        <v>278</v>
      </c>
      <c r="E934" s="444"/>
      <c r="F934" s="444"/>
      <c r="G934" s="444"/>
      <c r="H934" s="444"/>
      <c r="I934" s="29">
        <f>37588+1195467</f>
        <v>1233055</v>
      </c>
      <c r="J934" s="77"/>
      <c r="K934" s="80">
        <f>SUM(I934:J934)</f>
        <v>1233055</v>
      </c>
      <c r="L934" s="80"/>
    </row>
    <row r="935" spans="1:12" s="82" customFormat="1" ht="10.5" customHeight="1">
      <c r="A935" s="407"/>
      <c r="C935" s="149"/>
      <c r="D935" s="444" t="s">
        <v>280</v>
      </c>
      <c r="E935" s="444"/>
      <c r="F935" s="444"/>
      <c r="G935" s="444"/>
      <c r="H935" s="444"/>
      <c r="I935" s="29">
        <f>20224</f>
        <v>20224</v>
      </c>
      <c r="J935" s="77"/>
      <c r="K935" s="80">
        <f>SUM(I935:J935)</f>
        <v>20224</v>
      </c>
      <c r="L935" s="80"/>
    </row>
    <row r="936" spans="1:12" s="82" customFormat="1" ht="13.5" customHeight="1" hidden="1">
      <c r="A936" s="407"/>
      <c r="C936" s="149"/>
      <c r="D936" s="444" t="s">
        <v>281</v>
      </c>
      <c r="E936" s="444"/>
      <c r="F936" s="444"/>
      <c r="G936" s="444"/>
      <c r="H936" s="444"/>
      <c r="I936" s="29"/>
      <c r="J936" s="77"/>
      <c r="K936" s="80">
        <f>SUM(I936:J936)</f>
        <v>0</v>
      </c>
      <c r="L936" s="80"/>
    </row>
    <row r="937" spans="1:12" s="82" customFormat="1" ht="3.75" customHeight="1">
      <c r="A937" s="407"/>
      <c r="C937" s="149"/>
      <c r="D937" s="85"/>
      <c r="E937" s="85"/>
      <c r="F937" s="85"/>
      <c r="G937" s="85"/>
      <c r="H937" s="85"/>
      <c r="I937" s="29"/>
      <c r="J937" s="29"/>
      <c r="K937" s="29"/>
      <c r="L937" s="80"/>
    </row>
    <row r="938" spans="1:12" s="82" customFormat="1" ht="23.25" customHeight="1">
      <c r="A938" s="407"/>
      <c r="C938" s="159" t="s">
        <v>102</v>
      </c>
      <c r="D938" s="454" t="s">
        <v>553</v>
      </c>
      <c r="E938" s="454"/>
      <c r="F938" s="454"/>
      <c r="G938" s="454"/>
      <c r="H938" s="454"/>
      <c r="I938" s="129"/>
      <c r="J938" s="129"/>
      <c r="K938" s="129"/>
      <c r="L938" s="80"/>
    </row>
    <row r="939" spans="1:12" s="82" customFormat="1" ht="12.75" customHeight="1">
      <c r="A939" s="407"/>
      <c r="C939" s="149"/>
      <c r="D939" s="447" t="s">
        <v>37</v>
      </c>
      <c r="E939" s="447"/>
      <c r="F939" s="447"/>
      <c r="G939" s="447"/>
      <c r="H939" s="447"/>
      <c r="I939" s="77">
        <f>SUM(I940:I942)</f>
        <v>11305</v>
      </c>
      <c r="J939" s="77">
        <f>SUM(J940:J942)</f>
        <v>32525</v>
      </c>
      <c r="K939" s="77">
        <f>SUM(K940:K942)</f>
        <v>43830</v>
      </c>
      <c r="L939" s="80"/>
    </row>
    <row r="940" spans="1:12" s="82" customFormat="1" ht="12.75" customHeight="1">
      <c r="A940" s="407"/>
      <c r="C940" s="149"/>
      <c r="D940" s="446" t="s">
        <v>5</v>
      </c>
      <c r="E940" s="446"/>
      <c r="F940" s="446"/>
      <c r="G940" s="446"/>
      <c r="H940" s="446"/>
      <c r="I940" s="29">
        <f>11305</f>
        <v>11305</v>
      </c>
      <c r="J940" s="29">
        <f>3711+2728+2170+15+7407+2500+3800+10194</f>
        <v>32525</v>
      </c>
      <c r="K940" s="29">
        <f>SUM(I940:J940)</f>
        <v>43830</v>
      </c>
      <c r="L940" s="80"/>
    </row>
    <row r="941" spans="1:12" s="82" customFormat="1" ht="12.75" customHeight="1" hidden="1">
      <c r="A941" s="407"/>
      <c r="C941" s="149"/>
      <c r="D941" s="446" t="s">
        <v>6</v>
      </c>
      <c r="E941" s="446"/>
      <c r="F941" s="446"/>
      <c r="G941" s="446"/>
      <c r="H941" s="446"/>
      <c r="I941" s="29"/>
      <c r="J941" s="29"/>
      <c r="K941" s="29">
        <f>SUM(I941:J941)</f>
        <v>0</v>
      </c>
      <c r="L941" s="80"/>
    </row>
    <row r="942" spans="1:12" s="82" customFormat="1" ht="12.75" customHeight="1" hidden="1">
      <c r="A942" s="407"/>
      <c r="C942" s="149"/>
      <c r="D942" s="446" t="s">
        <v>7</v>
      </c>
      <c r="E942" s="446"/>
      <c r="F942" s="446"/>
      <c r="G942" s="446"/>
      <c r="H942" s="446"/>
      <c r="I942" s="29"/>
      <c r="J942" s="29"/>
      <c r="K942" s="29">
        <f>SUM(I942:J942)</f>
        <v>0</v>
      </c>
      <c r="L942" s="80"/>
    </row>
    <row r="943" spans="1:12" s="82" customFormat="1" ht="11.25" customHeight="1">
      <c r="A943" s="407"/>
      <c r="C943" s="149"/>
      <c r="D943" s="447" t="s">
        <v>38</v>
      </c>
      <c r="E943" s="447"/>
      <c r="F943" s="447"/>
      <c r="G943" s="447"/>
      <c r="H943" s="447"/>
      <c r="I943" s="253">
        <f>I944+I945+I946+I947+I948+I949</f>
        <v>11305</v>
      </c>
      <c r="J943" s="253">
        <f>J944+J945+J946+J947+J948+J949</f>
        <v>32525</v>
      </c>
      <c r="K943" s="253">
        <f>K944+K945+K946+K947+K948+K949</f>
        <v>43830</v>
      </c>
      <c r="L943" s="80"/>
    </row>
    <row r="944" spans="1:12" s="82" customFormat="1" ht="12.75" customHeight="1" hidden="1">
      <c r="A944" s="407"/>
      <c r="C944" s="149"/>
      <c r="D944" s="446" t="s">
        <v>289</v>
      </c>
      <c r="E944" s="446"/>
      <c r="F944" s="446"/>
      <c r="G944" s="446"/>
      <c r="H944" s="446"/>
      <c r="I944" s="29"/>
      <c r="J944" s="29"/>
      <c r="K944" s="29">
        <f aca="true" t="shared" si="62" ref="K944:K949">SUM(I944:J944)</f>
        <v>0</v>
      </c>
      <c r="L944" s="80"/>
    </row>
    <row r="945" spans="1:12" s="82" customFormat="1" ht="12" customHeight="1">
      <c r="A945" s="407"/>
      <c r="C945" s="149"/>
      <c r="D945" s="444" t="s">
        <v>8</v>
      </c>
      <c r="E945" s="448"/>
      <c r="F945" s="448"/>
      <c r="G945" s="448"/>
      <c r="H945" s="448"/>
      <c r="I945" s="29">
        <f>8388</f>
        <v>8388</v>
      </c>
      <c r="J945" s="29">
        <f>2728+7407+3500+300+10194</f>
        <v>24129</v>
      </c>
      <c r="K945" s="29">
        <f t="shared" si="62"/>
        <v>32517</v>
      </c>
      <c r="L945" s="80"/>
    </row>
    <row r="946" spans="1:12" s="82" customFormat="1" ht="13.5" customHeight="1" hidden="1">
      <c r="A946" s="407"/>
      <c r="C946" s="149"/>
      <c r="D946" s="444" t="s">
        <v>10</v>
      </c>
      <c r="E946" s="444"/>
      <c r="F946" s="444"/>
      <c r="G946" s="444"/>
      <c r="H946" s="444"/>
      <c r="I946" s="29"/>
      <c r="J946" s="29"/>
      <c r="K946" s="29">
        <f t="shared" si="62"/>
        <v>0</v>
      </c>
      <c r="L946" s="80"/>
    </row>
    <row r="947" spans="1:12" s="82" customFormat="1" ht="13.5" customHeight="1" hidden="1">
      <c r="A947" s="407"/>
      <c r="C947" s="149"/>
      <c r="D947" s="444" t="s">
        <v>9</v>
      </c>
      <c r="E947" s="444"/>
      <c r="F947" s="444"/>
      <c r="G947" s="444"/>
      <c r="H947" s="444"/>
      <c r="I947" s="29"/>
      <c r="J947" s="29"/>
      <c r="K947" s="29">
        <f t="shared" si="62"/>
        <v>0</v>
      </c>
      <c r="L947" s="80"/>
    </row>
    <row r="948" spans="1:12" s="82" customFormat="1" ht="12" customHeight="1">
      <c r="A948" s="407"/>
      <c r="C948" s="149"/>
      <c r="D948" s="444" t="s">
        <v>11</v>
      </c>
      <c r="E948" s="444"/>
      <c r="F948" s="444"/>
      <c r="G948" s="444"/>
      <c r="H948" s="444"/>
      <c r="I948" s="29">
        <f>2917</f>
        <v>2917</v>
      </c>
      <c r="J948" s="29">
        <f>2170+15+3711+2500</f>
        <v>8396</v>
      </c>
      <c r="K948" s="29">
        <f t="shared" si="62"/>
        <v>11313</v>
      </c>
      <c r="L948" s="80"/>
    </row>
    <row r="949" spans="1:12" s="82" customFormat="1" ht="13.5" customHeight="1" hidden="1">
      <c r="A949" s="407"/>
      <c r="C949" s="149"/>
      <c r="D949" s="444" t="s">
        <v>12</v>
      </c>
      <c r="E949" s="444"/>
      <c r="F949" s="444"/>
      <c r="G949" s="444"/>
      <c r="H949" s="444"/>
      <c r="I949" s="29"/>
      <c r="J949" s="29"/>
      <c r="K949" s="29">
        <f t="shared" si="62"/>
        <v>0</v>
      </c>
      <c r="L949" s="80"/>
    </row>
    <row r="950" spans="1:12" s="82" customFormat="1" ht="13.5" customHeight="1">
      <c r="A950" s="407"/>
      <c r="C950" s="149"/>
      <c r="D950" s="445" t="s">
        <v>277</v>
      </c>
      <c r="E950" s="445"/>
      <c r="F950" s="445"/>
      <c r="G950" s="445"/>
      <c r="H950" s="445"/>
      <c r="I950" s="77">
        <f>I939-I943</f>
        <v>0</v>
      </c>
      <c r="J950" s="77">
        <f>J939-J943</f>
        <v>0</v>
      </c>
      <c r="K950" s="77">
        <f>K939-K943</f>
        <v>0</v>
      </c>
      <c r="L950" s="80"/>
    </row>
    <row r="951" spans="1:12" s="82" customFormat="1" ht="12.75" customHeight="1">
      <c r="A951" s="407"/>
      <c r="C951" s="149"/>
      <c r="D951" s="444" t="s">
        <v>279</v>
      </c>
      <c r="E951" s="444"/>
      <c r="F951" s="444"/>
      <c r="G951" s="444"/>
      <c r="H951" s="444"/>
      <c r="I951" s="29">
        <f>I952+I953+I954</f>
        <v>0</v>
      </c>
      <c r="J951" s="29">
        <f>J952+J953+J954</f>
        <v>0</v>
      </c>
      <c r="K951" s="29">
        <f>K952+K953+K954</f>
        <v>0</v>
      </c>
      <c r="L951" s="80"/>
    </row>
    <row r="952" spans="1:12" s="82" customFormat="1" ht="12.75" customHeight="1" hidden="1">
      <c r="A952" s="407"/>
      <c r="C952" s="149"/>
      <c r="D952" s="444" t="s">
        <v>278</v>
      </c>
      <c r="E952" s="444"/>
      <c r="F952" s="444"/>
      <c r="G952" s="444"/>
      <c r="H952" s="444"/>
      <c r="I952" s="29"/>
      <c r="J952" s="77"/>
      <c r="K952" s="80">
        <f>SUM(I952:J952)</f>
        <v>0</v>
      </c>
      <c r="L952" s="80"/>
    </row>
    <row r="953" spans="1:12" s="82" customFormat="1" ht="12.75" customHeight="1" hidden="1">
      <c r="A953" s="407"/>
      <c r="C953" s="149"/>
      <c r="D953" s="444" t="s">
        <v>280</v>
      </c>
      <c r="E953" s="444"/>
      <c r="F953" s="444"/>
      <c r="G953" s="444"/>
      <c r="H953" s="444"/>
      <c r="I953" s="29"/>
      <c r="J953" s="77"/>
      <c r="K953" s="80">
        <f>SUM(I953:J953)</f>
        <v>0</v>
      </c>
      <c r="L953" s="80"/>
    </row>
    <row r="954" spans="1:12" s="82" customFormat="1" ht="3" customHeight="1">
      <c r="A954" s="407"/>
      <c r="C954" s="149"/>
      <c r="D954" s="85"/>
      <c r="E954" s="85"/>
      <c r="F954" s="85"/>
      <c r="G954" s="85"/>
      <c r="H954" s="85"/>
      <c r="I954" s="29"/>
      <c r="J954" s="29"/>
      <c r="K954" s="29"/>
      <c r="L954" s="80"/>
    </row>
    <row r="955" spans="1:12" s="82" customFormat="1" ht="11.25" customHeight="1">
      <c r="A955" s="407"/>
      <c r="C955" s="149"/>
      <c r="D955" s="85"/>
      <c r="E955" s="85"/>
      <c r="F955" s="85"/>
      <c r="G955" s="85"/>
      <c r="H955" s="85"/>
      <c r="I955" s="29"/>
      <c r="J955" s="29"/>
      <c r="K955" s="29"/>
      <c r="L955" s="80"/>
    </row>
    <row r="956" spans="1:12" s="82" customFormat="1" ht="15.75" customHeight="1">
      <c r="A956" s="407"/>
      <c r="C956" s="142" t="s">
        <v>1</v>
      </c>
      <c r="D956" s="450" t="s">
        <v>588</v>
      </c>
      <c r="E956" s="450"/>
      <c r="F956" s="450"/>
      <c r="G956" s="450"/>
      <c r="H956" s="450"/>
      <c r="I956" s="450"/>
      <c r="J956" s="126"/>
      <c r="K956" s="126"/>
      <c r="L956" s="80"/>
    </row>
    <row r="957" spans="1:12" s="82" customFormat="1" ht="12" customHeight="1">
      <c r="A957" s="407"/>
      <c r="C957" s="154"/>
      <c r="D957" s="447" t="s">
        <v>37</v>
      </c>
      <c r="E957" s="447"/>
      <c r="F957" s="447"/>
      <c r="G957" s="447"/>
      <c r="H957" s="447"/>
      <c r="I957" s="77">
        <f>SUM(I958:I960)</f>
        <v>0</v>
      </c>
      <c r="J957" s="77">
        <f>SUM(J958:J960)</f>
        <v>67566</v>
      </c>
      <c r="K957" s="77">
        <f>SUM(K958:K960)</f>
        <v>67566</v>
      </c>
      <c r="L957" s="80"/>
    </row>
    <row r="958" spans="1:12" s="82" customFormat="1" ht="12" customHeight="1">
      <c r="A958" s="407"/>
      <c r="C958" s="154"/>
      <c r="D958" s="446" t="s">
        <v>5</v>
      </c>
      <c r="E958" s="446"/>
      <c r="F958" s="446"/>
      <c r="G958" s="446"/>
      <c r="H958" s="446"/>
      <c r="I958" s="29"/>
      <c r="J958" s="80">
        <f>67566</f>
        <v>67566</v>
      </c>
      <c r="K958" s="80">
        <f>SUM(I958:J958)</f>
        <v>67566</v>
      </c>
      <c r="L958" s="80"/>
    </row>
    <row r="959" spans="1:12" s="82" customFormat="1" ht="12" customHeight="1" hidden="1">
      <c r="A959" s="407"/>
      <c r="C959" s="154"/>
      <c r="D959" s="446" t="s">
        <v>6</v>
      </c>
      <c r="E959" s="446"/>
      <c r="F959" s="446"/>
      <c r="G959" s="446"/>
      <c r="H959" s="446"/>
      <c r="I959" s="29"/>
      <c r="J959" s="78"/>
      <c r="K959" s="80">
        <f>SUM(I959:J959)</f>
        <v>0</v>
      </c>
      <c r="L959" s="80"/>
    </row>
    <row r="960" spans="1:12" s="82" customFormat="1" ht="12" customHeight="1" hidden="1">
      <c r="A960" s="407"/>
      <c r="C960" s="154"/>
      <c r="D960" s="446" t="s">
        <v>7</v>
      </c>
      <c r="E960" s="446"/>
      <c r="F960" s="446"/>
      <c r="G960" s="446"/>
      <c r="H960" s="446"/>
      <c r="I960" s="29"/>
      <c r="J960" s="78"/>
      <c r="K960" s="80">
        <f>SUM(I960:J960)</f>
        <v>0</v>
      </c>
      <c r="L960" s="80"/>
    </row>
    <row r="961" spans="1:12" s="82" customFormat="1" ht="12" customHeight="1">
      <c r="A961" s="407"/>
      <c r="C961" s="154"/>
      <c r="D961" s="447" t="s">
        <v>38</v>
      </c>
      <c r="E961" s="447"/>
      <c r="F961" s="447"/>
      <c r="G961" s="447"/>
      <c r="H961" s="447"/>
      <c r="I961" s="253">
        <f>SUM(I962:I967)</f>
        <v>0</v>
      </c>
      <c r="J961" s="253">
        <f>SUM(J962:J967)</f>
        <v>67566</v>
      </c>
      <c r="K961" s="253">
        <f>SUM(K962:K967)</f>
        <v>67566</v>
      </c>
      <c r="L961" s="80"/>
    </row>
    <row r="962" spans="1:12" s="82" customFormat="1" ht="12" customHeight="1" hidden="1">
      <c r="A962" s="407"/>
      <c r="C962" s="154"/>
      <c r="D962" s="446" t="s">
        <v>289</v>
      </c>
      <c r="E962" s="446"/>
      <c r="F962" s="446"/>
      <c r="G962" s="446"/>
      <c r="H962" s="446"/>
      <c r="I962" s="29"/>
      <c r="J962" s="80"/>
      <c r="K962" s="80">
        <f aca="true" t="shared" si="63" ref="K962:K967">SUM(I962:J962)</f>
        <v>0</v>
      </c>
      <c r="L962" s="80"/>
    </row>
    <row r="963" spans="1:12" s="82" customFormat="1" ht="12" customHeight="1">
      <c r="A963" s="407"/>
      <c r="C963" s="154"/>
      <c r="D963" s="444" t="s">
        <v>8</v>
      </c>
      <c r="E963" s="448"/>
      <c r="F963" s="448"/>
      <c r="G963" s="448"/>
      <c r="H963" s="448"/>
      <c r="I963" s="29"/>
      <c r="J963" s="80">
        <f>67566</f>
        <v>67566</v>
      </c>
      <c r="K963" s="80">
        <f t="shared" si="63"/>
        <v>67566</v>
      </c>
      <c r="L963" s="80"/>
    </row>
    <row r="964" spans="1:12" s="82" customFormat="1" ht="12" customHeight="1" hidden="1">
      <c r="A964" s="407"/>
      <c r="C964" s="154"/>
      <c r="D964" s="444" t="s">
        <v>10</v>
      </c>
      <c r="E964" s="444"/>
      <c r="F964" s="444"/>
      <c r="G964" s="444"/>
      <c r="H964" s="444"/>
      <c r="I964" s="29"/>
      <c r="J964" s="78"/>
      <c r="K964" s="80">
        <f t="shared" si="63"/>
        <v>0</v>
      </c>
      <c r="L964" s="80"/>
    </row>
    <row r="965" spans="1:12" s="82" customFormat="1" ht="12" customHeight="1" hidden="1">
      <c r="A965" s="407"/>
      <c r="C965" s="151"/>
      <c r="D965" s="444" t="s">
        <v>9</v>
      </c>
      <c r="E965" s="444"/>
      <c r="F965" s="444"/>
      <c r="G965" s="444"/>
      <c r="H965" s="444"/>
      <c r="I965" s="29"/>
      <c r="J965" s="77"/>
      <c r="K965" s="80">
        <f t="shared" si="63"/>
        <v>0</v>
      </c>
      <c r="L965" s="80"/>
    </row>
    <row r="966" spans="1:12" s="82" customFormat="1" ht="12" customHeight="1" hidden="1">
      <c r="A966" s="407"/>
      <c r="C966" s="149"/>
      <c r="D966" s="444" t="s">
        <v>11</v>
      </c>
      <c r="E966" s="444"/>
      <c r="F966" s="444"/>
      <c r="G966" s="444"/>
      <c r="H966" s="444"/>
      <c r="I966" s="29"/>
      <c r="J966" s="80"/>
      <c r="K966" s="80">
        <f t="shared" si="63"/>
        <v>0</v>
      </c>
      <c r="L966" s="80"/>
    </row>
    <row r="967" spans="1:12" s="82" customFormat="1" ht="12" customHeight="1" hidden="1">
      <c r="A967" s="407"/>
      <c r="C967" s="151"/>
      <c r="D967" s="444" t="s">
        <v>12</v>
      </c>
      <c r="E967" s="444"/>
      <c r="F967" s="444"/>
      <c r="G967" s="444"/>
      <c r="H967" s="444"/>
      <c r="I967" s="29"/>
      <c r="J967" s="77"/>
      <c r="K967" s="80">
        <f t="shared" si="63"/>
        <v>0</v>
      </c>
      <c r="L967" s="80"/>
    </row>
    <row r="968" spans="1:12" s="82" customFormat="1" ht="12" customHeight="1">
      <c r="A968" s="407"/>
      <c r="C968" s="151"/>
      <c r="D968" s="445" t="s">
        <v>277</v>
      </c>
      <c r="E968" s="445"/>
      <c r="F968" s="445"/>
      <c r="G968" s="445"/>
      <c r="H968" s="445"/>
      <c r="I968" s="77">
        <f>I957-I961</f>
        <v>0</v>
      </c>
      <c r="J968" s="77">
        <f>J957-J961</f>
        <v>0</v>
      </c>
      <c r="K968" s="77">
        <f>K957-K961</f>
        <v>0</v>
      </c>
      <c r="L968" s="80"/>
    </row>
    <row r="969" spans="1:12" s="82" customFormat="1" ht="12" customHeight="1">
      <c r="A969" s="407"/>
      <c r="C969" s="151"/>
      <c r="D969" s="444" t="s">
        <v>279</v>
      </c>
      <c r="E969" s="444"/>
      <c r="F969" s="444"/>
      <c r="G969" s="444"/>
      <c r="H969" s="444"/>
      <c r="I969" s="29">
        <f>I970+I971+I972</f>
        <v>0</v>
      </c>
      <c r="J969" s="29">
        <f>J970+J971+J972</f>
        <v>0</v>
      </c>
      <c r="K969" s="29">
        <f>K970+K971+K972</f>
        <v>0</v>
      </c>
      <c r="L969" s="80"/>
    </row>
    <row r="970" spans="1:12" s="82" customFormat="1" ht="12" customHeight="1" hidden="1">
      <c r="A970" s="407"/>
      <c r="C970" s="151"/>
      <c r="D970" s="444" t="s">
        <v>278</v>
      </c>
      <c r="E970" s="444"/>
      <c r="F970" s="444"/>
      <c r="G970" s="444"/>
      <c r="H970" s="444"/>
      <c r="I970" s="29"/>
      <c r="J970" s="77"/>
      <c r="K970" s="80">
        <f>SUM(I970:J970)</f>
        <v>0</v>
      </c>
      <c r="L970" s="80"/>
    </row>
    <row r="971" spans="1:12" s="82" customFormat="1" ht="12" customHeight="1" hidden="1">
      <c r="A971" s="407"/>
      <c r="C971" s="151"/>
      <c r="D971" s="444" t="s">
        <v>280</v>
      </c>
      <c r="E971" s="444"/>
      <c r="F971" s="444"/>
      <c r="G971" s="444"/>
      <c r="H971" s="444"/>
      <c r="I971" s="29"/>
      <c r="J971" s="77"/>
      <c r="K971" s="80">
        <f>SUM(I971:J971)</f>
        <v>0</v>
      </c>
      <c r="L971" s="80"/>
    </row>
    <row r="972" spans="1:12" s="82" customFormat="1" ht="12" customHeight="1" hidden="1">
      <c r="A972" s="407"/>
      <c r="C972" s="151"/>
      <c r="D972" s="444" t="s">
        <v>281</v>
      </c>
      <c r="E972" s="444"/>
      <c r="F972" s="444"/>
      <c r="G972" s="444"/>
      <c r="H972" s="444"/>
      <c r="I972" s="29"/>
      <c r="J972" s="77"/>
      <c r="K972" s="80">
        <f>SUM(I972:J972)</f>
        <v>0</v>
      </c>
      <c r="L972" s="80"/>
    </row>
    <row r="973" spans="1:12" s="82" customFormat="1" ht="11.25" customHeight="1">
      <c r="A973" s="407"/>
      <c r="C973" s="149"/>
      <c r="D973" s="85"/>
      <c r="E973" s="85"/>
      <c r="F973" s="85"/>
      <c r="G973" s="85"/>
      <c r="H973" s="85"/>
      <c r="I973" s="29"/>
      <c r="J973" s="29"/>
      <c r="K973" s="29"/>
      <c r="L973" s="80"/>
    </row>
    <row r="974" spans="1:12" s="82" customFormat="1" ht="11.25" customHeight="1">
      <c r="A974" s="407"/>
      <c r="C974" s="149"/>
      <c r="D974" s="85"/>
      <c r="E974" s="85"/>
      <c r="F974" s="85"/>
      <c r="G974" s="85"/>
      <c r="H974" s="85"/>
      <c r="I974" s="29"/>
      <c r="J974" s="29"/>
      <c r="K974" s="29"/>
      <c r="L974" s="80"/>
    </row>
    <row r="975" spans="1:12" s="82" customFormat="1" ht="15" customHeight="1">
      <c r="A975" s="407"/>
      <c r="C975" s="159" t="s">
        <v>1</v>
      </c>
      <c r="D975" s="450" t="s">
        <v>543</v>
      </c>
      <c r="E975" s="450"/>
      <c r="F975" s="450"/>
      <c r="G975" s="450"/>
      <c r="H975" s="450"/>
      <c r="I975" s="129"/>
      <c r="J975" s="29"/>
      <c r="K975" s="29"/>
      <c r="L975" s="80"/>
    </row>
    <row r="976" spans="1:12" s="82" customFormat="1" ht="13.5" customHeight="1">
      <c r="A976" s="407"/>
      <c r="C976" s="149"/>
      <c r="D976" s="447" t="s">
        <v>37</v>
      </c>
      <c r="E976" s="447"/>
      <c r="F976" s="447"/>
      <c r="G976" s="447"/>
      <c r="H976" s="447"/>
      <c r="I976" s="77">
        <f>SUM(I977:I979)</f>
        <v>27771</v>
      </c>
      <c r="J976" s="77">
        <f>SUM(J977:J979)</f>
        <v>0</v>
      </c>
      <c r="K976" s="77">
        <f>SUM(K977:K979)</f>
        <v>27771</v>
      </c>
      <c r="L976" s="80"/>
    </row>
    <row r="977" spans="1:12" s="82" customFormat="1" ht="12.75" customHeight="1">
      <c r="A977" s="407"/>
      <c r="C977" s="149"/>
      <c r="D977" s="446" t="s">
        <v>5</v>
      </c>
      <c r="E977" s="446"/>
      <c r="F977" s="446"/>
      <c r="G977" s="446"/>
      <c r="H977" s="446"/>
      <c r="I977" s="29">
        <f>27771</f>
        <v>27771</v>
      </c>
      <c r="J977" s="29"/>
      <c r="K977" s="29">
        <f>SUM(I977:J977)</f>
        <v>27771</v>
      </c>
      <c r="L977" s="80"/>
    </row>
    <row r="978" spans="1:12" s="82" customFormat="1" ht="13.5" customHeight="1" hidden="1">
      <c r="A978" s="407"/>
      <c r="C978" s="149"/>
      <c r="D978" s="446" t="s">
        <v>6</v>
      </c>
      <c r="E978" s="446"/>
      <c r="F978" s="446"/>
      <c r="G978" s="446"/>
      <c r="H978" s="446"/>
      <c r="I978" s="29"/>
      <c r="J978" s="29"/>
      <c r="K978" s="29">
        <f>SUM(I978:J978)</f>
        <v>0</v>
      </c>
      <c r="L978" s="80"/>
    </row>
    <row r="979" spans="1:12" s="82" customFormat="1" ht="13.5" customHeight="1" hidden="1">
      <c r="A979" s="407"/>
      <c r="C979" s="149"/>
      <c r="D979" s="446" t="s">
        <v>7</v>
      </c>
      <c r="E979" s="446"/>
      <c r="F979" s="446"/>
      <c r="G979" s="446"/>
      <c r="H979" s="446"/>
      <c r="I979" s="29"/>
      <c r="J979" s="29"/>
      <c r="K979" s="29">
        <f>SUM(I979:J979)</f>
        <v>0</v>
      </c>
      <c r="L979" s="80"/>
    </row>
    <row r="980" spans="1:12" s="82" customFormat="1" ht="12.75" customHeight="1">
      <c r="A980" s="407"/>
      <c r="C980" s="149"/>
      <c r="D980" s="447" t="s">
        <v>38</v>
      </c>
      <c r="E980" s="447"/>
      <c r="F980" s="447"/>
      <c r="G980" s="447"/>
      <c r="H980" s="447"/>
      <c r="I980" s="253">
        <f>I981+I982+I983+I984+I985+I986</f>
        <v>27771</v>
      </c>
      <c r="J980" s="253">
        <f>J981+J982+J983+J984+J985+J986</f>
        <v>0</v>
      </c>
      <c r="K980" s="253">
        <f>K981+K982+K983+K984+K985+K986</f>
        <v>27771</v>
      </c>
      <c r="L980" s="80"/>
    </row>
    <row r="981" spans="1:12" s="82" customFormat="1" ht="13.5" customHeight="1" hidden="1">
      <c r="A981" s="407"/>
      <c r="C981" s="149"/>
      <c r="D981" s="446" t="s">
        <v>289</v>
      </c>
      <c r="E981" s="446"/>
      <c r="F981" s="446"/>
      <c r="G981" s="446"/>
      <c r="H981" s="446"/>
      <c r="I981" s="29"/>
      <c r="J981" s="29"/>
      <c r="K981" s="29">
        <f aca="true" t="shared" si="64" ref="K981:K986">SUM(I981:J981)</f>
        <v>0</v>
      </c>
      <c r="L981" s="80"/>
    </row>
    <row r="982" spans="1:12" s="82" customFormat="1" ht="13.5" customHeight="1" hidden="1">
      <c r="A982" s="407"/>
      <c r="C982" s="149"/>
      <c r="D982" s="444" t="s">
        <v>8</v>
      </c>
      <c r="E982" s="448"/>
      <c r="F982" s="448"/>
      <c r="G982" s="448"/>
      <c r="H982" s="448"/>
      <c r="I982" s="29"/>
      <c r="J982" s="29"/>
      <c r="K982" s="29">
        <f t="shared" si="64"/>
        <v>0</v>
      </c>
      <c r="L982" s="80"/>
    </row>
    <row r="983" spans="1:12" s="82" customFormat="1" ht="13.5" customHeight="1" hidden="1">
      <c r="A983" s="407"/>
      <c r="C983" s="149"/>
      <c r="D983" s="444" t="s">
        <v>10</v>
      </c>
      <c r="E983" s="444"/>
      <c r="F983" s="444"/>
      <c r="G983" s="444"/>
      <c r="H983" s="444"/>
      <c r="I983" s="29"/>
      <c r="J983" s="29"/>
      <c r="K983" s="29">
        <f t="shared" si="64"/>
        <v>0</v>
      </c>
      <c r="L983" s="80"/>
    </row>
    <row r="984" spans="1:12" s="82" customFormat="1" ht="13.5" customHeight="1" hidden="1">
      <c r="A984" s="407"/>
      <c r="C984" s="149"/>
      <c r="D984" s="444" t="s">
        <v>9</v>
      </c>
      <c r="E984" s="444"/>
      <c r="F984" s="444"/>
      <c r="G984" s="444"/>
      <c r="H984" s="444"/>
      <c r="I984" s="29"/>
      <c r="J984" s="29"/>
      <c r="K984" s="29">
        <f t="shared" si="64"/>
        <v>0</v>
      </c>
      <c r="L984" s="80"/>
    </row>
    <row r="985" spans="1:12" s="82" customFormat="1" ht="13.5" customHeight="1">
      <c r="A985" s="407"/>
      <c r="C985" s="149"/>
      <c r="D985" s="444" t="s">
        <v>11</v>
      </c>
      <c r="E985" s="444"/>
      <c r="F985" s="444"/>
      <c r="G985" s="444"/>
      <c r="H985" s="444"/>
      <c r="I985" s="29">
        <f>27771</f>
        <v>27771</v>
      </c>
      <c r="J985" s="29"/>
      <c r="K985" s="29">
        <f t="shared" si="64"/>
        <v>27771</v>
      </c>
      <c r="L985" s="80"/>
    </row>
    <row r="986" spans="1:12" s="82" customFormat="1" ht="13.5" customHeight="1" hidden="1">
      <c r="A986" s="407"/>
      <c r="C986" s="149"/>
      <c r="D986" s="444" t="s">
        <v>12</v>
      </c>
      <c r="E986" s="444"/>
      <c r="F986" s="444"/>
      <c r="G986" s="444"/>
      <c r="H986" s="444"/>
      <c r="I986" s="29"/>
      <c r="J986" s="29"/>
      <c r="K986" s="29">
        <f t="shared" si="64"/>
        <v>0</v>
      </c>
      <c r="L986" s="80"/>
    </row>
    <row r="987" spans="1:12" s="82" customFormat="1" ht="13.5" customHeight="1">
      <c r="A987" s="407"/>
      <c r="C987" s="149"/>
      <c r="D987" s="445" t="s">
        <v>277</v>
      </c>
      <c r="E987" s="445"/>
      <c r="F987" s="445"/>
      <c r="G987" s="445"/>
      <c r="H987" s="445"/>
      <c r="I987" s="77">
        <f>I976-I980</f>
        <v>0</v>
      </c>
      <c r="J987" s="77">
        <f>J976-J980</f>
        <v>0</v>
      </c>
      <c r="K987" s="77">
        <f>K976-K980</f>
        <v>0</v>
      </c>
      <c r="L987" s="80"/>
    </row>
    <row r="988" spans="1:12" s="82" customFormat="1" ht="12.75" customHeight="1">
      <c r="A988" s="407"/>
      <c r="C988" s="149"/>
      <c r="D988" s="444" t="s">
        <v>279</v>
      </c>
      <c r="E988" s="444"/>
      <c r="F988" s="444"/>
      <c r="G988" s="444"/>
      <c r="H988" s="444"/>
      <c r="I988" s="29">
        <f>I989+I990+I991</f>
        <v>0</v>
      </c>
      <c r="J988" s="29">
        <f>J989+J990+J991</f>
        <v>0</v>
      </c>
      <c r="K988" s="29">
        <f>K989+K990+K991</f>
        <v>0</v>
      </c>
      <c r="L988" s="80"/>
    </row>
    <row r="989" spans="1:12" s="82" customFormat="1" ht="13.5" customHeight="1" hidden="1">
      <c r="A989" s="407"/>
      <c r="C989" s="149"/>
      <c r="D989" s="444" t="s">
        <v>278</v>
      </c>
      <c r="E989" s="444"/>
      <c r="F989" s="444"/>
      <c r="G989" s="444"/>
      <c r="H989" s="444"/>
      <c r="I989" s="29"/>
      <c r="J989" s="29"/>
      <c r="K989" s="29">
        <f>SUM(I989:J989)</f>
        <v>0</v>
      </c>
      <c r="L989" s="80"/>
    </row>
    <row r="990" spans="1:12" s="82" customFormat="1" ht="13.5" customHeight="1" hidden="1">
      <c r="A990" s="407"/>
      <c r="C990" s="149"/>
      <c r="D990" s="444" t="s">
        <v>280</v>
      </c>
      <c r="E990" s="444"/>
      <c r="F990" s="444"/>
      <c r="G990" s="444"/>
      <c r="H990" s="444"/>
      <c r="I990" s="29"/>
      <c r="J990" s="29"/>
      <c r="K990" s="29">
        <f>SUM(I990:J990)</f>
        <v>0</v>
      </c>
      <c r="L990" s="80"/>
    </row>
    <row r="991" spans="1:12" s="82" customFormat="1" ht="13.5" customHeight="1" hidden="1">
      <c r="A991" s="407"/>
      <c r="C991" s="149"/>
      <c r="D991" s="444" t="s">
        <v>281</v>
      </c>
      <c r="E991" s="444"/>
      <c r="F991" s="444"/>
      <c r="G991" s="444"/>
      <c r="H991" s="444"/>
      <c r="I991" s="29"/>
      <c r="J991" s="29"/>
      <c r="K991" s="29">
        <f>SUM(I991:J991)</f>
        <v>0</v>
      </c>
      <c r="L991" s="80"/>
    </row>
    <row r="992" spans="1:12" s="82" customFormat="1" ht="3" customHeight="1">
      <c r="A992" s="407"/>
      <c r="C992" s="149"/>
      <c r="D992" s="85"/>
      <c r="E992" s="85"/>
      <c r="F992" s="85"/>
      <c r="G992" s="85"/>
      <c r="H992" s="85"/>
      <c r="I992" s="29"/>
      <c r="J992" s="29"/>
      <c r="K992" s="29"/>
      <c r="L992" s="80"/>
    </row>
    <row r="993" spans="1:12" s="95" customFormat="1" ht="13.5" customHeight="1">
      <c r="A993" s="407"/>
      <c r="C993" s="159" t="s">
        <v>97</v>
      </c>
      <c r="D993" s="450" t="s">
        <v>2</v>
      </c>
      <c r="E993" s="450"/>
      <c r="F993" s="450"/>
      <c r="G993" s="450"/>
      <c r="H993" s="450"/>
      <c r="I993" s="129"/>
      <c r="J993" s="129"/>
      <c r="K993" s="129"/>
      <c r="L993" s="127"/>
    </row>
    <row r="994" spans="1:12" s="82" customFormat="1" ht="12.75" customHeight="1">
      <c r="A994" s="407"/>
      <c r="C994" s="151"/>
      <c r="D994" s="447" t="s">
        <v>37</v>
      </c>
      <c r="E994" s="447"/>
      <c r="F994" s="447"/>
      <c r="G994" s="447"/>
      <c r="H994" s="447"/>
      <c r="I994" s="77">
        <f>SUM(I995:I997)</f>
        <v>3931</v>
      </c>
      <c r="J994" s="77">
        <f>SUM(J995:J997)</f>
        <v>0</v>
      </c>
      <c r="K994" s="77">
        <f>SUM(K995:K997)</f>
        <v>3931</v>
      </c>
      <c r="L994" s="80"/>
    </row>
    <row r="995" spans="1:12" s="82" customFormat="1" ht="0.75" customHeight="1">
      <c r="A995" s="407"/>
      <c r="C995" s="149"/>
      <c r="D995" s="446" t="s">
        <v>5</v>
      </c>
      <c r="E995" s="446"/>
      <c r="F995" s="446"/>
      <c r="G995" s="446"/>
      <c r="H995" s="446"/>
      <c r="I995" s="29"/>
      <c r="J995" s="29"/>
      <c r="K995" s="29">
        <f>SUM(I995:J995)</f>
        <v>0</v>
      </c>
      <c r="L995" s="80"/>
    </row>
    <row r="996" spans="1:12" s="82" customFormat="1" ht="12.75" customHeight="1" hidden="1">
      <c r="A996" s="407"/>
      <c r="C996" s="149"/>
      <c r="D996" s="446" t="s">
        <v>6</v>
      </c>
      <c r="E996" s="446"/>
      <c r="F996" s="446"/>
      <c r="G996" s="446"/>
      <c r="H996" s="446"/>
      <c r="I996" s="29"/>
      <c r="J996" s="29"/>
      <c r="K996" s="29">
        <f>SUM(I996:J996)</f>
        <v>0</v>
      </c>
      <c r="L996" s="80"/>
    </row>
    <row r="997" spans="1:12" s="82" customFormat="1" ht="12.75" customHeight="1">
      <c r="A997" s="407"/>
      <c r="C997" s="149"/>
      <c r="D997" s="446" t="s">
        <v>7</v>
      </c>
      <c r="E997" s="446"/>
      <c r="F997" s="446"/>
      <c r="G997" s="446"/>
      <c r="H997" s="446"/>
      <c r="I997" s="29">
        <f>3931</f>
        <v>3931</v>
      </c>
      <c r="J997" s="29"/>
      <c r="K997" s="29">
        <f>SUM(I997:J997)</f>
        <v>3931</v>
      </c>
      <c r="L997" s="80"/>
    </row>
    <row r="998" spans="1:12" s="82" customFormat="1" ht="12.75" customHeight="1">
      <c r="A998" s="407"/>
      <c r="C998" s="151"/>
      <c r="D998" s="447" t="s">
        <v>38</v>
      </c>
      <c r="E998" s="447"/>
      <c r="F998" s="447"/>
      <c r="G998" s="447"/>
      <c r="H998" s="447"/>
      <c r="I998" s="253">
        <f>I999+I1000+I1001+I1002+I1003+I1004</f>
        <v>29136</v>
      </c>
      <c r="J998" s="253">
        <f>J999+J1000+J1001+J1002+J1003+J1004</f>
        <v>0</v>
      </c>
      <c r="K998" s="253">
        <f>K999+K1000+K1001+K1002+K1003+K1004</f>
        <v>29136</v>
      </c>
      <c r="L998" s="80"/>
    </row>
    <row r="999" spans="1:12" s="82" customFormat="1" ht="13.5" customHeight="1">
      <c r="A999" s="407"/>
      <c r="C999" s="149"/>
      <c r="D999" s="446" t="s">
        <v>289</v>
      </c>
      <c r="E999" s="446"/>
      <c r="F999" s="446"/>
      <c r="G999" s="446"/>
      <c r="H999" s="446"/>
      <c r="I999" s="29">
        <f>13338+2874</f>
        <v>16212</v>
      </c>
      <c r="J999" s="29"/>
      <c r="K999" s="29">
        <f aca="true" t="shared" si="65" ref="K999:K1004">SUM(I999:J999)</f>
        <v>16212</v>
      </c>
      <c r="L999" s="80"/>
    </row>
    <row r="1000" spans="1:12" s="82" customFormat="1" ht="12.75" customHeight="1">
      <c r="A1000" s="407"/>
      <c r="C1000" s="152"/>
      <c r="D1000" s="444" t="s">
        <v>8</v>
      </c>
      <c r="E1000" s="448"/>
      <c r="F1000" s="448"/>
      <c r="G1000" s="448"/>
      <c r="H1000" s="448"/>
      <c r="I1000" s="29">
        <f>11205+662+1057</f>
        <v>12924</v>
      </c>
      <c r="J1000" s="29"/>
      <c r="K1000" s="29">
        <f t="shared" si="65"/>
        <v>12924</v>
      </c>
      <c r="L1000" s="80"/>
    </row>
    <row r="1001" spans="1:12" s="82" customFormat="1" ht="13.5" customHeight="1" hidden="1">
      <c r="A1001" s="407"/>
      <c r="C1001" s="152"/>
      <c r="D1001" s="444" t="s">
        <v>10</v>
      </c>
      <c r="E1001" s="444"/>
      <c r="F1001" s="444"/>
      <c r="G1001" s="444"/>
      <c r="H1001" s="444"/>
      <c r="I1001" s="29"/>
      <c r="J1001" s="29"/>
      <c r="K1001" s="29">
        <f t="shared" si="65"/>
        <v>0</v>
      </c>
      <c r="L1001" s="80"/>
    </row>
    <row r="1002" spans="1:12" s="82" customFormat="1" ht="13.5" customHeight="1" hidden="1">
      <c r="A1002" s="407"/>
      <c r="C1002" s="152"/>
      <c r="D1002" s="444" t="s">
        <v>9</v>
      </c>
      <c r="E1002" s="444"/>
      <c r="F1002" s="444"/>
      <c r="G1002" s="444"/>
      <c r="H1002" s="444"/>
      <c r="I1002" s="29"/>
      <c r="J1002" s="29"/>
      <c r="K1002" s="29">
        <f t="shared" si="65"/>
        <v>0</v>
      </c>
      <c r="L1002" s="80"/>
    </row>
    <row r="1003" spans="1:12" s="82" customFormat="1" ht="13.5" customHeight="1" hidden="1">
      <c r="A1003" s="407"/>
      <c r="C1003" s="152"/>
      <c r="D1003" s="444" t="s">
        <v>11</v>
      </c>
      <c r="E1003" s="444"/>
      <c r="F1003" s="444"/>
      <c r="G1003" s="444"/>
      <c r="H1003" s="444"/>
      <c r="I1003" s="29"/>
      <c r="J1003" s="29"/>
      <c r="K1003" s="29">
        <f t="shared" si="65"/>
        <v>0</v>
      </c>
      <c r="L1003" s="80"/>
    </row>
    <row r="1004" spans="1:12" s="82" customFormat="1" ht="13.5" customHeight="1" hidden="1">
      <c r="A1004" s="407"/>
      <c r="C1004" s="152"/>
      <c r="D1004" s="444" t="s">
        <v>12</v>
      </c>
      <c r="E1004" s="444"/>
      <c r="F1004" s="444"/>
      <c r="G1004" s="444"/>
      <c r="H1004" s="444"/>
      <c r="I1004" s="29"/>
      <c r="J1004" s="29"/>
      <c r="K1004" s="29">
        <f t="shared" si="65"/>
        <v>0</v>
      </c>
      <c r="L1004" s="80"/>
    </row>
    <row r="1005" spans="1:12" s="82" customFormat="1" ht="13.5" customHeight="1">
      <c r="A1005" s="407"/>
      <c r="C1005" s="152"/>
      <c r="D1005" s="445" t="s">
        <v>277</v>
      </c>
      <c r="E1005" s="445"/>
      <c r="F1005" s="445"/>
      <c r="G1005" s="445"/>
      <c r="H1005" s="445"/>
      <c r="I1005" s="77">
        <f>I994-I998</f>
        <v>-25205</v>
      </c>
      <c r="J1005" s="77">
        <f>J994-J998</f>
        <v>0</v>
      </c>
      <c r="K1005" s="77">
        <f>K994-K998</f>
        <v>-25205</v>
      </c>
      <c r="L1005" s="80"/>
    </row>
    <row r="1006" spans="1:12" s="82" customFormat="1" ht="13.5" customHeight="1">
      <c r="A1006" s="407"/>
      <c r="C1006" s="152"/>
      <c r="D1006" s="444" t="s">
        <v>279</v>
      </c>
      <c r="E1006" s="444"/>
      <c r="F1006" s="444"/>
      <c r="G1006" s="444"/>
      <c r="H1006" s="444"/>
      <c r="I1006" s="29">
        <f>I1007+I1008+I1009</f>
        <v>25205</v>
      </c>
      <c r="J1006" s="29">
        <f>J1007+J1008+J1009</f>
        <v>0</v>
      </c>
      <c r="K1006" s="29">
        <f>K1007+K1008+K1009</f>
        <v>25205</v>
      </c>
      <c r="L1006" s="80"/>
    </row>
    <row r="1007" spans="1:12" s="82" customFormat="1" ht="13.5" customHeight="1">
      <c r="A1007" s="407"/>
      <c r="C1007" s="152"/>
      <c r="D1007" s="444" t="s">
        <v>278</v>
      </c>
      <c r="E1007" s="444"/>
      <c r="F1007" s="444"/>
      <c r="G1007" s="444"/>
      <c r="H1007" s="444"/>
      <c r="I1007" s="29">
        <f>11205+14000</f>
        <v>25205</v>
      </c>
      <c r="J1007" s="77"/>
      <c r="K1007" s="80">
        <f>SUM(I1007:J1007)</f>
        <v>25205</v>
      </c>
      <c r="L1007" s="80"/>
    </row>
    <row r="1008" spans="1:12" s="82" customFormat="1" ht="13.5" customHeight="1" hidden="1">
      <c r="A1008" s="407"/>
      <c r="C1008" s="152"/>
      <c r="D1008" s="444" t="s">
        <v>280</v>
      </c>
      <c r="E1008" s="444"/>
      <c r="F1008" s="444"/>
      <c r="G1008" s="444"/>
      <c r="H1008" s="444"/>
      <c r="I1008" s="29"/>
      <c r="J1008" s="77"/>
      <c r="K1008" s="80">
        <f>SUM(I1008:J1008)</f>
        <v>0</v>
      </c>
      <c r="L1008" s="80"/>
    </row>
    <row r="1009" spans="1:12" s="82" customFormat="1" ht="13.5" customHeight="1" hidden="1">
      <c r="A1009" s="407"/>
      <c r="C1009" s="152"/>
      <c r="D1009" s="444" t="s">
        <v>281</v>
      </c>
      <c r="E1009" s="444"/>
      <c r="F1009" s="444"/>
      <c r="G1009" s="444"/>
      <c r="H1009" s="444"/>
      <c r="I1009" s="29"/>
      <c r="J1009" s="77"/>
      <c r="K1009" s="80">
        <f>SUM(I1009:J1009)</f>
        <v>0</v>
      </c>
      <c r="L1009" s="80"/>
    </row>
    <row r="1010" spans="1:12" s="82" customFormat="1" ht="8.25" customHeight="1" hidden="1">
      <c r="A1010" s="407"/>
      <c r="C1010" s="152"/>
      <c r="D1010" s="85"/>
      <c r="E1010" s="85"/>
      <c r="F1010" s="85"/>
      <c r="G1010" s="85"/>
      <c r="H1010" s="85"/>
      <c r="I1010" s="29"/>
      <c r="J1010" s="77"/>
      <c r="K1010" s="80"/>
      <c r="L1010" s="80"/>
    </row>
    <row r="1011" spans="1:12" s="82" customFormat="1" ht="13.5" customHeight="1" hidden="1">
      <c r="A1011" s="407"/>
      <c r="C1011" s="149"/>
      <c r="D1011" s="85"/>
      <c r="E1011" s="85"/>
      <c r="F1011" s="85"/>
      <c r="G1011" s="85"/>
      <c r="H1011" s="85"/>
      <c r="I1011" s="29"/>
      <c r="J1011" s="29"/>
      <c r="K1011" s="29"/>
      <c r="L1011" s="80"/>
    </row>
    <row r="1012" spans="1:12" s="82" customFormat="1" ht="13.5" customHeight="1" hidden="1">
      <c r="A1012" s="407"/>
      <c r="C1012" s="159" t="s">
        <v>1</v>
      </c>
      <c r="D1012" s="454" t="s">
        <v>391</v>
      </c>
      <c r="E1012" s="454"/>
      <c r="F1012" s="454"/>
      <c r="G1012" s="454"/>
      <c r="H1012" s="454"/>
      <c r="I1012" s="129"/>
      <c r="J1012" s="129"/>
      <c r="K1012" s="129"/>
      <c r="L1012" s="80"/>
    </row>
    <row r="1013" spans="1:12" s="82" customFormat="1" ht="13.5" customHeight="1" hidden="1">
      <c r="A1013" s="407"/>
      <c r="C1013" s="151"/>
      <c r="D1013" s="447" t="s">
        <v>37</v>
      </c>
      <c r="E1013" s="447"/>
      <c r="F1013" s="447"/>
      <c r="G1013" s="447"/>
      <c r="H1013" s="447"/>
      <c r="I1013" s="77">
        <f>SUM(I1014:I1016)</f>
        <v>0</v>
      </c>
      <c r="J1013" s="77">
        <f>SUM(J1014:J1016)</f>
        <v>0</v>
      </c>
      <c r="K1013" s="77">
        <f>SUM(K1014:K1016)</f>
        <v>0</v>
      </c>
      <c r="L1013" s="80"/>
    </row>
    <row r="1014" spans="1:12" s="82" customFormat="1" ht="13.5" customHeight="1" hidden="1">
      <c r="A1014" s="407"/>
      <c r="C1014" s="149"/>
      <c r="D1014" s="446" t="s">
        <v>5</v>
      </c>
      <c r="E1014" s="446"/>
      <c r="F1014" s="446"/>
      <c r="G1014" s="446"/>
      <c r="H1014" s="446"/>
      <c r="I1014" s="29"/>
      <c r="J1014" s="29"/>
      <c r="K1014" s="29">
        <f>SUM(I1014:J1014)</f>
        <v>0</v>
      </c>
      <c r="L1014" s="80"/>
    </row>
    <row r="1015" spans="1:12" s="82" customFormat="1" ht="13.5" customHeight="1" hidden="1">
      <c r="A1015" s="407"/>
      <c r="C1015" s="149"/>
      <c r="D1015" s="446" t="s">
        <v>6</v>
      </c>
      <c r="E1015" s="446"/>
      <c r="F1015" s="446"/>
      <c r="G1015" s="446"/>
      <c r="H1015" s="446"/>
      <c r="I1015" s="29"/>
      <c r="J1015" s="29"/>
      <c r="K1015" s="29">
        <f>SUM(I1015:J1015)</f>
        <v>0</v>
      </c>
      <c r="L1015" s="80"/>
    </row>
    <row r="1016" spans="1:12" s="82" customFormat="1" ht="13.5" customHeight="1" hidden="1">
      <c r="A1016" s="407"/>
      <c r="C1016" s="149"/>
      <c r="D1016" s="446" t="s">
        <v>7</v>
      </c>
      <c r="E1016" s="446"/>
      <c r="F1016" s="446"/>
      <c r="G1016" s="446"/>
      <c r="H1016" s="446"/>
      <c r="I1016" s="29"/>
      <c r="J1016" s="29"/>
      <c r="K1016" s="29">
        <f>SUM(I1016:J1016)</f>
        <v>0</v>
      </c>
      <c r="L1016" s="80"/>
    </row>
    <row r="1017" spans="1:12" s="82" customFormat="1" ht="13.5" customHeight="1" hidden="1">
      <c r="A1017" s="407"/>
      <c r="C1017" s="151"/>
      <c r="D1017" s="447" t="s">
        <v>38</v>
      </c>
      <c r="E1017" s="447"/>
      <c r="F1017" s="447"/>
      <c r="G1017" s="447"/>
      <c r="H1017" s="447"/>
      <c r="I1017" s="253">
        <f>I1018+I1019+I1020+I1021+I1022+I1023</f>
        <v>0</v>
      </c>
      <c r="J1017" s="253">
        <f>J1018+J1019+J1020+J1021+J1022+J1023</f>
        <v>0</v>
      </c>
      <c r="K1017" s="253">
        <f>K1018+K1019+K1020+K1021+K1022+K1023</f>
        <v>0</v>
      </c>
      <c r="L1017" s="80"/>
    </row>
    <row r="1018" spans="1:12" s="82" customFormat="1" ht="13.5" customHeight="1" hidden="1">
      <c r="A1018" s="407"/>
      <c r="C1018" s="149"/>
      <c r="D1018" s="446" t="s">
        <v>289</v>
      </c>
      <c r="E1018" s="446"/>
      <c r="F1018" s="446"/>
      <c r="G1018" s="446"/>
      <c r="H1018" s="446"/>
      <c r="I1018" s="29"/>
      <c r="J1018" s="29"/>
      <c r="K1018" s="29">
        <f aca="true" t="shared" si="66" ref="K1018:K1023">SUM(I1018:J1018)</f>
        <v>0</v>
      </c>
      <c r="L1018" s="80"/>
    </row>
    <row r="1019" spans="1:12" s="82" customFormat="1" ht="13.5" customHeight="1" hidden="1">
      <c r="A1019" s="407"/>
      <c r="C1019" s="152"/>
      <c r="D1019" s="444" t="s">
        <v>8</v>
      </c>
      <c r="E1019" s="448"/>
      <c r="F1019" s="448"/>
      <c r="G1019" s="448"/>
      <c r="H1019" s="448"/>
      <c r="I1019" s="29"/>
      <c r="J1019" s="29"/>
      <c r="K1019" s="29">
        <f t="shared" si="66"/>
        <v>0</v>
      </c>
      <c r="L1019" s="80"/>
    </row>
    <row r="1020" spans="1:12" s="82" customFormat="1" ht="13.5" customHeight="1" hidden="1">
      <c r="A1020" s="407"/>
      <c r="C1020" s="152"/>
      <c r="D1020" s="444" t="s">
        <v>10</v>
      </c>
      <c r="E1020" s="444"/>
      <c r="F1020" s="444"/>
      <c r="G1020" s="444"/>
      <c r="H1020" s="444"/>
      <c r="I1020" s="29"/>
      <c r="J1020" s="29"/>
      <c r="K1020" s="29">
        <f t="shared" si="66"/>
        <v>0</v>
      </c>
      <c r="L1020" s="80"/>
    </row>
    <row r="1021" spans="1:12" s="82" customFormat="1" ht="13.5" customHeight="1" hidden="1">
      <c r="A1021" s="407"/>
      <c r="C1021" s="152"/>
      <c r="D1021" s="444" t="s">
        <v>9</v>
      </c>
      <c r="E1021" s="444"/>
      <c r="F1021" s="444"/>
      <c r="G1021" s="444"/>
      <c r="H1021" s="444"/>
      <c r="I1021" s="29"/>
      <c r="J1021" s="29"/>
      <c r="K1021" s="29">
        <f t="shared" si="66"/>
        <v>0</v>
      </c>
      <c r="L1021" s="80"/>
    </row>
    <row r="1022" spans="1:12" s="82" customFormat="1" ht="13.5" customHeight="1" hidden="1">
      <c r="A1022" s="407"/>
      <c r="C1022" s="152"/>
      <c r="D1022" s="444" t="s">
        <v>11</v>
      </c>
      <c r="E1022" s="444"/>
      <c r="F1022" s="444"/>
      <c r="G1022" s="444"/>
      <c r="H1022" s="444"/>
      <c r="I1022" s="29"/>
      <c r="J1022" s="29"/>
      <c r="K1022" s="29">
        <f t="shared" si="66"/>
        <v>0</v>
      </c>
      <c r="L1022" s="80"/>
    </row>
    <row r="1023" spans="1:12" s="82" customFormat="1" ht="13.5" customHeight="1" hidden="1">
      <c r="A1023" s="407"/>
      <c r="C1023" s="152"/>
      <c r="D1023" s="444" t="s">
        <v>12</v>
      </c>
      <c r="E1023" s="444"/>
      <c r="F1023" s="444"/>
      <c r="G1023" s="444"/>
      <c r="H1023" s="444"/>
      <c r="I1023" s="29"/>
      <c r="J1023" s="29"/>
      <c r="K1023" s="29">
        <f t="shared" si="66"/>
        <v>0</v>
      </c>
      <c r="L1023" s="80"/>
    </row>
    <row r="1024" spans="1:12" s="82" customFormat="1" ht="13.5" customHeight="1" hidden="1">
      <c r="A1024" s="407"/>
      <c r="C1024" s="152"/>
      <c r="D1024" s="445" t="s">
        <v>277</v>
      </c>
      <c r="E1024" s="445"/>
      <c r="F1024" s="445"/>
      <c r="G1024" s="445"/>
      <c r="H1024" s="445"/>
      <c r="I1024" s="77">
        <f>I1013-I1017</f>
        <v>0</v>
      </c>
      <c r="J1024" s="77">
        <f>J1013-J1017</f>
        <v>0</v>
      </c>
      <c r="K1024" s="77">
        <f>K1013-K1017</f>
        <v>0</v>
      </c>
      <c r="L1024" s="80"/>
    </row>
    <row r="1025" spans="1:12" s="82" customFormat="1" ht="13.5" customHeight="1" hidden="1">
      <c r="A1025" s="407"/>
      <c r="C1025" s="152"/>
      <c r="D1025" s="444" t="s">
        <v>279</v>
      </c>
      <c r="E1025" s="444"/>
      <c r="F1025" s="444"/>
      <c r="G1025" s="444"/>
      <c r="H1025" s="444"/>
      <c r="I1025" s="29">
        <f>I1026+I1027+I1028</f>
        <v>0</v>
      </c>
      <c r="J1025" s="29">
        <f>J1026+J1027+J1028</f>
        <v>0</v>
      </c>
      <c r="K1025" s="29">
        <f>K1026+K1027+K1028</f>
        <v>0</v>
      </c>
      <c r="L1025" s="80"/>
    </row>
    <row r="1026" spans="1:12" s="82" customFormat="1" ht="13.5" customHeight="1" hidden="1">
      <c r="A1026" s="407"/>
      <c r="C1026" s="152"/>
      <c r="D1026" s="444" t="s">
        <v>278</v>
      </c>
      <c r="E1026" s="444"/>
      <c r="F1026" s="444"/>
      <c r="G1026" s="444"/>
      <c r="H1026" s="444"/>
      <c r="I1026" s="29"/>
      <c r="J1026" s="77"/>
      <c r="K1026" s="80">
        <f>SUM(I1026:J1026)</f>
        <v>0</v>
      </c>
      <c r="L1026" s="80"/>
    </row>
    <row r="1027" spans="1:12" s="82" customFormat="1" ht="13.5" customHeight="1" hidden="1">
      <c r="A1027" s="407"/>
      <c r="C1027" s="152"/>
      <c r="D1027" s="444" t="s">
        <v>280</v>
      </c>
      <c r="E1027" s="444"/>
      <c r="F1027" s="444"/>
      <c r="G1027" s="444"/>
      <c r="H1027" s="444"/>
      <c r="I1027" s="29"/>
      <c r="J1027" s="77"/>
      <c r="K1027" s="80">
        <f>SUM(I1027:J1027)</f>
        <v>0</v>
      </c>
      <c r="L1027" s="80"/>
    </row>
    <row r="1028" spans="1:12" s="82" customFormat="1" ht="13.5" customHeight="1" hidden="1">
      <c r="A1028" s="407"/>
      <c r="C1028" s="152"/>
      <c r="D1028" s="444" t="s">
        <v>281</v>
      </c>
      <c r="E1028" s="444"/>
      <c r="F1028" s="444"/>
      <c r="G1028" s="444"/>
      <c r="H1028" s="444"/>
      <c r="I1028" s="29"/>
      <c r="J1028" s="77"/>
      <c r="K1028" s="80">
        <f>SUM(I1028:J1028)</f>
        <v>0</v>
      </c>
      <c r="L1028" s="80"/>
    </row>
    <row r="1029" spans="1:12" s="82" customFormat="1" ht="9" customHeight="1" hidden="1">
      <c r="A1029" s="407"/>
      <c r="C1029" s="152"/>
      <c r="D1029" s="85"/>
      <c r="E1029" s="85"/>
      <c r="F1029" s="85"/>
      <c r="G1029" s="85"/>
      <c r="H1029" s="85"/>
      <c r="I1029" s="29"/>
      <c r="J1029" s="77"/>
      <c r="K1029" s="80"/>
      <c r="L1029" s="80"/>
    </row>
    <row r="1030" spans="1:12" s="82" customFormat="1" ht="13.5" customHeight="1" hidden="1">
      <c r="A1030" s="407"/>
      <c r="C1030" s="149"/>
      <c r="D1030" s="85"/>
      <c r="E1030" s="85"/>
      <c r="F1030" s="85"/>
      <c r="G1030" s="85"/>
      <c r="H1030" s="85"/>
      <c r="I1030" s="29"/>
      <c r="J1030" s="29"/>
      <c r="K1030" s="29"/>
      <c r="L1030" s="80"/>
    </row>
    <row r="1031" spans="1:12" s="132" customFormat="1" ht="13.5" customHeight="1" hidden="1">
      <c r="A1031" s="411"/>
      <c r="C1031" s="128" t="s">
        <v>103</v>
      </c>
      <c r="D1031" s="435" t="s">
        <v>25</v>
      </c>
      <c r="E1031" s="435"/>
      <c r="F1031" s="435"/>
      <c r="G1031" s="435"/>
      <c r="H1031" s="435"/>
      <c r="I1031" s="130"/>
      <c r="J1031" s="131"/>
      <c r="K1031" s="131"/>
      <c r="L1031" s="131"/>
    </row>
    <row r="1032" spans="1:12" s="88" customFormat="1" ht="13.5" customHeight="1" hidden="1">
      <c r="A1032" s="411"/>
      <c r="C1032" s="101"/>
      <c r="D1032" s="447" t="s">
        <v>37</v>
      </c>
      <c r="E1032" s="447"/>
      <c r="F1032" s="447"/>
      <c r="G1032" s="447"/>
      <c r="H1032" s="447"/>
      <c r="I1032" s="77">
        <f>SUM(I1033:I1035)</f>
        <v>0</v>
      </c>
      <c r="J1032" s="77">
        <f>SUM(J1033:J1035)</f>
        <v>0</v>
      </c>
      <c r="K1032" s="77">
        <f>SUM(K1033:K1035)</f>
        <v>0</v>
      </c>
      <c r="L1032" s="98"/>
    </row>
    <row r="1033" spans="1:12" s="88" customFormat="1" ht="13.5" customHeight="1" hidden="1">
      <c r="A1033" s="411"/>
      <c r="C1033" s="101"/>
      <c r="D1033" s="446" t="s">
        <v>5</v>
      </c>
      <c r="E1033" s="446"/>
      <c r="F1033" s="446"/>
      <c r="G1033" s="446"/>
      <c r="H1033" s="446"/>
      <c r="I1033" s="29"/>
      <c r="J1033" s="98"/>
      <c r="K1033" s="98">
        <f>SUM(I1033:J1033)</f>
        <v>0</v>
      </c>
      <c r="L1033" s="98"/>
    </row>
    <row r="1034" spans="1:12" s="88" customFormat="1" ht="13.5" customHeight="1" hidden="1">
      <c r="A1034" s="411"/>
      <c r="C1034" s="101"/>
      <c r="D1034" s="446" t="s">
        <v>6</v>
      </c>
      <c r="E1034" s="446"/>
      <c r="F1034" s="446"/>
      <c r="G1034" s="446"/>
      <c r="H1034" s="446"/>
      <c r="I1034" s="100"/>
      <c r="J1034" s="98"/>
      <c r="K1034" s="98">
        <f>SUM(I1034:J1034)</f>
        <v>0</v>
      </c>
      <c r="L1034" s="98"/>
    </row>
    <row r="1035" spans="1:12" s="88" customFormat="1" ht="13.5" customHeight="1" hidden="1">
      <c r="A1035" s="411"/>
      <c r="C1035" s="101"/>
      <c r="D1035" s="446" t="s">
        <v>7</v>
      </c>
      <c r="E1035" s="446"/>
      <c r="F1035" s="446"/>
      <c r="G1035" s="446"/>
      <c r="H1035" s="446"/>
      <c r="I1035" s="100"/>
      <c r="J1035" s="98"/>
      <c r="K1035" s="98">
        <f>SUM(I1035:J1035)</f>
        <v>0</v>
      </c>
      <c r="L1035" s="98"/>
    </row>
    <row r="1036" spans="1:12" s="88" customFormat="1" ht="13.5" customHeight="1" hidden="1">
      <c r="A1036" s="411"/>
      <c r="C1036" s="101"/>
      <c r="D1036" s="447" t="s">
        <v>38</v>
      </c>
      <c r="E1036" s="447"/>
      <c r="F1036" s="447"/>
      <c r="G1036" s="447"/>
      <c r="H1036" s="447"/>
      <c r="I1036" s="253">
        <f>SUM(I1037:I1042)</f>
        <v>0</v>
      </c>
      <c r="J1036" s="253">
        <f>SUM(J1037:J1042)</f>
        <v>0</v>
      </c>
      <c r="K1036" s="253">
        <f>SUM(K1037:K1042)</f>
        <v>0</v>
      </c>
      <c r="L1036" s="98"/>
    </row>
    <row r="1037" spans="1:12" s="88" customFormat="1" ht="13.5" customHeight="1" hidden="1">
      <c r="A1037" s="411"/>
      <c r="C1037" s="101"/>
      <c r="D1037" s="446" t="s">
        <v>289</v>
      </c>
      <c r="E1037" s="446"/>
      <c r="F1037" s="446"/>
      <c r="G1037" s="446"/>
      <c r="H1037" s="446"/>
      <c r="I1037" s="29"/>
      <c r="J1037" s="98"/>
      <c r="K1037" s="98">
        <f aca="true" t="shared" si="67" ref="K1037:K1042">SUM(I1037:J1037)</f>
        <v>0</v>
      </c>
      <c r="L1037" s="98"/>
    </row>
    <row r="1038" spans="1:12" s="82" customFormat="1" ht="13.5" customHeight="1" hidden="1">
      <c r="A1038" s="407"/>
      <c r="C1038" s="151"/>
      <c r="D1038" s="444" t="s">
        <v>8</v>
      </c>
      <c r="E1038" s="448"/>
      <c r="F1038" s="448"/>
      <c r="G1038" s="448"/>
      <c r="H1038" s="448"/>
      <c r="I1038" s="29"/>
      <c r="J1038" s="80"/>
      <c r="K1038" s="98">
        <f t="shared" si="67"/>
        <v>0</v>
      </c>
      <c r="L1038" s="80"/>
    </row>
    <row r="1039" spans="1:12" s="82" customFormat="1" ht="13.5" customHeight="1" hidden="1">
      <c r="A1039" s="407"/>
      <c r="C1039" s="149"/>
      <c r="D1039" s="444" t="s">
        <v>10</v>
      </c>
      <c r="E1039" s="444"/>
      <c r="F1039" s="444"/>
      <c r="G1039" s="444"/>
      <c r="H1039" s="444"/>
      <c r="I1039" s="29"/>
      <c r="J1039" s="80"/>
      <c r="K1039" s="98">
        <f t="shared" si="67"/>
        <v>0</v>
      </c>
      <c r="L1039" s="80"/>
    </row>
    <row r="1040" spans="1:12" s="82" customFormat="1" ht="13.5" customHeight="1" hidden="1">
      <c r="A1040" s="407"/>
      <c r="C1040" s="151"/>
      <c r="D1040" s="444" t="s">
        <v>9</v>
      </c>
      <c r="E1040" s="444"/>
      <c r="F1040" s="444"/>
      <c r="G1040" s="444"/>
      <c r="H1040" s="444"/>
      <c r="I1040" s="29"/>
      <c r="J1040" s="80"/>
      <c r="K1040" s="98">
        <f t="shared" si="67"/>
        <v>0</v>
      </c>
      <c r="L1040" s="80"/>
    </row>
    <row r="1041" spans="1:12" s="82" customFormat="1" ht="13.5" customHeight="1" hidden="1">
      <c r="A1041" s="407"/>
      <c r="C1041" s="149"/>
      <c r="D1041" s="444" t="s">
        <v>11</v>
      </c>
      <c r="E1041" s="444"/>
      <c r="F1041" s="444"/>
      <c r="G1041" s="444"/>
      <c r="H1041" s="444"/>
      <c r="I1041" s="29"/>
      <c r="J1041" s="80"/>
      <c r="K1041" s="98">
        <f t="shared" si="67"/>
        <v>0</v>
      </c>
      <c r="L1041" s="80"/>
    </row>
    <row r="1042" spans="1:12" s="33" customFormat="1" ht="13.5" customHeight="1" hidden="1">
      <c r="A1042" s="410"/>
      <c r="C1042" s="152"/>
      <c r="D1042" s="444" t="s">
        <v>12</v>
      </c>
      <c r="E1042" s="444"/>
      <c r="F1042" s="444"/>
      <c r="G1042" s="444"/>
      <c r="H1042" s="444"/>
      <c r="I1042" s="29"/>
      <c r="J1042" s="80"/>
      <c r="K1042" s="98">
        <f t="shared" si="67"/>
        <v>0</v>
      </c>
      <c r="L1042" s="175"/>
    </row>
    <row r="1043" spans="1:12" s="33" customFormat="1" ht="13.5" customHeight="1" hidden="1">
      <c r="A1043" s="410"/>
      <c r="C1043" s="152"/>
      <c r="D1043" s="445" t="s">
        <v>277</v>
      </c>
      <c r="E1043" s="445"/>
      <c r="F1043" s="445"/>
      <c r="G1043" s="445"/>
      <c r="H1043" s="445"/>
      <c r="I1043" s="77">
        <f>I1032-I1036</f>
        <v>0</v>
      </c>
      <c r="J1043" s="77">
        <f>J1032-J1036</f>
        <v>0</v>
      </c>
      <c r="K1043" s="77">
        <f>K1032-K1036</f>
        <v>0</v>
      </c>
      <c r="L1043" s="175"/>
    </row>
    <row r="1044" spans="1:12" s="33" customFormat="1" ht="13.5" customHeight="1" hidden="1">
      <c r="A1044" s="410"/>
      <c r="C1044" s="152"/>
      <c r="D1044" s="444" t="s">
        <v>279</v>
      </c>
      <c r="E1044" s="444"/>
      <c r="F1044" s="444"/>
      <c r="G1044" s="444"/>
      <c r="H1044" s="444"/>
      <c r="I1044" s="29">
        <f>I1045+I1046+I1047</f>
        <v>0</v>
      </c>
      <c r="J1044" s="29">
        <f>J1045+J1046+J1047</f>
        <v>0</v>
      </c>
      <c r="K1044" s="29">
        <f>K1045+K1046+K1047</f>
        <v>0</v>
      </c>
      <c r="L1044" s="175"/>
    </row>
    <row r="1045" spans="1:12" s="33" customFormat="1" ht="13.5" customHeight="1" hidden="1">
      <c r="A1045" s="410"/>
      <c r="C1045" s="152"/>
      <c r="D1045" s="444" t="s">
        <v>278</v>
      </c>
      <c r="E1045" s="444"/>
      <c r="F1045" s="444"/>
      <c r="G1045" s="444"/>
      <c r="H1045" s="444"/>
      <c r="I1045" s="29"/>
      <c r="J1045" s="77"/>
      <c r="K1045" s="80">
        <f>SUM(I1045:J1045)</f>
        <v>0</v>
      </c>
      <c r="L1045" s="175"/>
    </row>
    <row r="1046" spans="1:12" s="33" customFormat="1" ht="13.5" customHeight="1" hidden="1">
      <c r="A1046" s="410"/>
      <c r="C1046" s="152"/>
      <c r="D1046" s="444" t="s">
        <v>280</v>
      </c>
      <c r="E1046" s="444"/>
      <c r="F1046" s="444"/>
      <c r="G1046" s="444"/>
      <c r="H1046" s="444"/>
      <c r="I1046" s="29"/>
      <c r="J1046" s="77"/>
      <c r="K1046" s="80">
        <f>SUM(I1046:J1046)</f>
        <v>0</v>
      </c>
      <c r="L1046" s="175"/>
    </row>
    <row r="1047" spans="1:12" s="33" customFormat="1" ht="13.5" customHeight="1" hidden="1">
      <c r="A1047" s="410"/>
      <c r="C1047" s="152"/>
      <c r="D1047" s="444" t="s">
        <v>281</v>
      </c>
      <c r="E1047" s="444"/>
      <c r="F1047" s="444"/>
      <c r="G1047" s="444"/>
      <c r="H1047" s="444"/>
      <c r="I1047" s="29"/>
      <c r="J1047" s="77"/>
      <c r="K1047" s="80">
        <f>SUM(I1047:J1047)</f>
        <v>0</v>
      </c>
      <c r="L1047" s="175"/>
    </row>
    <row r="1048" spans="1:12" s="33" customFormat="1" ht="0.75" customHeight="1">
      <c r="A1048" s="410"/>
      <c r="C1048" s="152"/>
      <c r="D1048" s="85"/>
      <c r="E1048" s="85"/>
      <c r="F1048" s="85"/>
      <c r="G1048" s="85"/>
      <c r="H1048" s="85"/>
      <c r="I1048" s="29"/>
      <c r="J1048" s="80"/>
      <c r="K1048" s="80"/>
      <c r="L1048" s="175"/>
    </row>
    <row r="1049" spans="1:13" s="6" customFormat="1" ht="13.5" customHeight="1">
      <c r="A1049" s="409">
        <f>'2.pielikums'!J50-'3.pielik.'!K1049</f>
        <v>0</v>
      </c>
      <c r="C1049" s="150" t="s">
        <v>56</v>
      </c>
      <c r="D1049" s="437" t="s">
        <v>104</v>
      </c>
      <c r="E1049" s="437"/>
      <c r="F1049" s="437"/>
      <c r="G1049" s="437"/>
      <c r="H1049" s="437"/>
      <c r="I1049" s="134">
        <f>I1056+I1075</f>
        <v>73564</v>
      </c>
      <c r="J1049" s="134">
        <f>J1056+J1075</f>
        <v>1820</v>
      </c>
      <c r="K1049" s="134">
        <f>K1056+K1075</f>
        <v>75384</v>
      </c>
      <c r="L1049" s="93"/>
      <c r="M1049" s="91"/>
    </row>
    <row r="1050" spans="1:13" s="15" customFormat="1" ht="2.25" customHeight="1" hidden="1">
      <c r="A1050" s="407"/>
      <c r="C1050" s="151"/>
      <c r="D1050" s="16"/>
      <c r="E1050" s="16"/>
      <c r="F1050" s="16"/>
      <c r="G1050" s="16"/>
      <c r="H1050" s="16"/>
      <c r="I1050" s="77"/>
      <c r="J1050" s="78"/>
      <c r="K1050" s="78"/>
      <c r="L1050" s="127"/>
      <c r="M1050" s="95"/>
    </row>
    <row r="1051" spans="1:13" s="15" customFormat="1" ht="13.5" customHeight="1">
      <c r="A1051" s="407"/>
      <c r="C1051" s="142" t="s">
        <v>105</v>
      </c>
      <c r="D1051" s="450" t="s">
        <v>306</v>
      </c>
      <c r="E1051" s="450"/>
      <c r="F1051" s="450"/>
      <c r="G1051" s="450"/>
      <c r="H1051" s="450"/>
      <c r="I1051" s="17"/>
      <c r="J1051" s="126"/>
      <c r="K1051" s="126"/>
      <c r="L1051" s="127"/>
      <c r="M1051" s="95"/>
    </row>
    <row r="1052" spans="1:13" s="15" customFormat="1" ht="13.5" customHeight="1">
      <c r="A1052" s="407"/>
      <c r="C1052" s="154"/>
      <c r="D1052" s="447" t="s">
        <v>37</v>
      </c>
      <c r="E1052" s="447"/>
      <c r="F1052" s="447"/>
      <c r="G1052" s="447"/>
      <c r="H1052" s="447"/>
      <c r="I1052" s="77">
        <f>SUM(I1053:I1055)</f>
        <v>66230</v>
      </c>
      <c r="J1052" s="77">
        <f>SUM(J1053:J1055)</f>
        <v>1820</v>
      </c>
      <c r="K1052" s="77">
        <f>SUM(K1053:K1055)</f>
        <v>68050</v>
      </c>
      <c r="L1052" s="127"/>
      <c r="M1052" s="95"/>
    </row>
    <row r="1053" spans="1:13" s="15" customFormat="1" ht="11.25" customHeight="1">
      <c r="A1053" s="407"/>
      <c r="C1053" s="154"/>
      <c r="D1053" s="446" t="s">
        <v>5</v>
      </c>
      <c r="E1053" s="446"/>
      <c r="F1053" s="446"/>
      <c r="G1053" s="446"/>
      <c r="H1053" s="446"/>
      <c r="I1053" s="29">
        <v>58103</v>
      </c>
      <c r="J1053" s="80">
        <f>1820</f>
        <v>1820</v>
      </c>
      <c r="K1053" s="80">
        <f>SUM(I1053:J1053)</f>
        <v>59923</v>
      </c>
      <c r="L1053" s="127"/>
      <c r="M1053" s="95"/>
    </row>
    <row r="1054" spans="1:13" s="15" customFormat="1" ht="12.75" customHeight="1">
      <c r="A1054" s="407"/>
      <c r="C1054" s="154"/>
      <c r="D1054" s="446" t="s">
        <v>6</v>
      </c>
      <c r="E1054" s="446"/>
      <c r="F1054" s="446"/>
      <c r="G1054" s="446"/>
      <c r="H1054" s="446"/>
      <c r="I1054" s="29">
        <v>8127</v>
      </c>
      <c r="J1054" s="80"/>
      <c r="K1054" s="80">
        <f>SUM(I1054:J1054)</f>
        <v>8127</v>
      </c>
      <c r="L1054" s="127"/>
      <c r="M1054" s="95"/>
    </row>
    <row r="1055" spans="1:13" s="15" customFormat="1" ht="13.5" customHeight="1" hidden="1">
      <c r="A1055" s="407"/>
      <c r="C1055" s="154"/>
      <c r="D1055" s="446" t="s">
        <v>7</v>
      </c>
      <c r="E1055" s="446"/>
      <c r="F1055" s="446"/>
      <c r="G1055" s="446"/>
      <c r="H1055" s="446"/>
      <c r="I1055" s="29"/>
      <c r="J1055" s="78"/>
      <c r="K1055" s="80">
        <f>SUM(I1055:J1055)</f>
        <v>0</v>
      </c>
      <c r="L1055" s="127"/>
      <c r="M1055" s="95"/>
    </row>
    <row r="1056" spans="1:13" s="15" customFormat="1" ht="13.5" customHeight="1">
      <c r="A1056" s="407"/>
      <c r="C1056" s="154"/>
      <c r="D1056" s="447" t="s">
        <v>38</v>
      </c>
      <c r="E1056" s="447"/>
      <c r="F1056" s="447"/>
      <c r="G1056" s="447"/>
      <c r="H1056" s="447"/>
      <c r="I1056" s="253">
        <f>SUM(I1057:I1062)</f>
        <v>66240</v>
      </c>
      <c r="J1056" s="253">
        <f>SUM(J1057:J1062)</f>
        <v>1820</v>
      </c>
      <c r="K1056" s="253">
        <f>SUM(K1057:K1062)</f>
        <v>68060</v>
      </c>
      <c r="L1056" s="127"/>
      <c r="M1056" s="95"/>
    </row>
    <row r="1057" spans="1:13" s="15" customFormat="1" ht="13.5" customHeight="1">
      <c r="A1057" s="407"/>
      <c r="C1057" s="154"/>
      <c r="D1057" s="446" t="s">
        <v>289</v>
      </c>
      <c r="E1057" s="446"/>
      <c r="F1057" s="446"/>
      <c r="G1057" s="446"/>
      <c r="H1057" s="446"/>
      <c r="I1057" s="29">
        <f>40979+3443</f>
        <v>44422</v>
      </c>
      <c r="J1057" s="80">
        <f>1820</f>
        <v>1820</v>
      </c>
      <c r="K1057" s="80">
        <f aca="true" t="shared" si="68" ref="K1057:K1062">SUM(I1057:J1057)</f>
        <v>46242</v>
      </c>
      <c r="L1057" s="127"/>
      <c r="M1057" s="95"/>
    </row>
    <row r="1058" spans="1:13" s="79" customFormat="1" ht="12" customHeight="1">
      <c r="A1058" s="407"/>
      <c r="C1058" s="151"/>
      <c r="D1058" s="444" t="s">
        <v>8</v>
      </c>
      <c r="E1058" s="448"/>
      <c r="F1058" s="448"/>
      <c r="G1058" s="448"/>
      <c r="H1058" s="448"/>
      <c r="I1058" s="29">
        <f>17124+4694</f>
        <v>21818</v>
      </c>
      <c r="J1058" s="80"/>
      <c r="K1058" s="80">
        <f t="shared" si="68"/>
        <v>21818</v>
      </c>
      <c r="L1058" s="80"/>
      <c r="M1058" s="82"/>
    </row>
    <row r="1059" spans="1:12" s="82" customFormat="1" ht="13.5" customHeight="1" hidden="1">
      <c r="A1059" s="407"/>
      <c r="C1059" s="149"/>
      <c r="D1059" s="444" t="s">
        <v>10</v>
      </c>
      <c r="E1059" s="444"/>
      <c r="F1059" s="444"/>
      <c r="G1059" s="444"/>
      <c r="H1059" s="444"/>
      <c r="I1059" s="29"/>
      <c r="J1059" s="80"/>
      <c r="K1059" s="80">
        <f t="shared" si="68"/>
        <v>0</v>
      </c>
      <c r="L1059" s="80"/>
    </row>
    <row r="1060" spans="1:12" s="82" customFormat="1" ht="13.5" customHeight="1" hidden="1">
      <c r="A1060" s="407"/>
      <c r="C1060" s="149"/>
      <c r="D1060" s="444" t="s">
        <v>9</v>
      </c>
      <c r="E1060" s="444"/>
      <c r="F1060" s="444"/>
      <c r="G1060" s="444"/>
      <c r="H1060" s="444"/>
      <c r="I1060" s="29"/>
      <c r="J1060" s="80"/>
      <c r="K1060" s="80">
        <f t="shared" si="68"/>
        <v>0</v>
      </c>
      <c r="L1060" s="80"/>
    </row>
    <row r="1061" spans="1:13" s="79" customFormat="1" ht="13.5" customHeight="1" hidden="1">
      <c r="A1061" s="407"/>
      <c r="C1061" s="151"/>
      <c r="D1061" s="444" t="s">
        <v>11</v>
      </c>
      <c r="E1061" s="444"/>
      <c r="F1061" s="444"/>
      <c r="G1061" s="444"/>
      <c r="H1061" s="444"/>
      <c r="I1061" s="29"/>
      <c r="J1061" s="77"/>
      <c r="K1061" s="80">
        <f t="shared" si="68"/>
        <v>0</v>
      </c>
      <c r="L1061" s="80"/>
      <c r="M1061" s="82"/>
    </row>
    <row r="1062" spans="1:12" s="82" customFormat="1" ht="13.5" customHeight="1" hidden="1">
      <c r="A1062" s="407"/>
      <c r="C1062" s="149"/>
      <c r="D1062" s="444" t="s">
        <v>12</v>
      </c>
      <c r="E1062" s="444"/>
      <c r="F1062" s="444"/>
      <c r="G1062" s="444"/>
      <c r="H1062" s="444"/>
      <c r="I1062" s="29"/>
      <c r="J1062" s="80"/>
      <c r="K1062" s="80">
        <f t="shared" si="68"/>
        <v>0</v>
      </c>
      <c r="L1062" s="80"/>
    </row>
    <row r="1063" spans="1:12" s="82" customFormat="1" ht="13.5" customHeight="1">
      <c r="A1063" s="407"/>
      <c r="C1063" s="149"/>
      <c r="D1063" s="445" t="s">
        <v>277</v>
      </c>
      <c r="E1063" s="445"/>
      <c r="F1063" s="445"/>
      <c r="G1063" s="445"/>
      <c r="H1063" s="445"/>
      <c r="I1063" s="77">
        <f>I1052-I1056</f>
        <v>-10</v>
      </c>
      <c r="J1063" s="77">
        <f>J1052-J1056</f>
        <v>0</v>
      </c>
      <c r="K1063" s="77">
        <f>K1052-K1056</f>
        <v>-10</v>
      </c>
      <c r="L1063" s="80"/>
    </row>
    <row r="1064" spans="1:12" s="82" customFormat="1" ht="12.75" customHeight="1">
      <c r="A1064" s="407"/>
      <c r="C1064" s="149"/>
      <c r="D1064" s="444" t="s">
        <v>279</v>
      </c>
      <c r="E1064" s="444"/>
      <c r="F1064" s="444"/>
      <c r="G1064" s="444"/>
      <c r="H1064" s="444"/>
      <c r="I1064" s="29">
        <f>I1065+I1066+I1067</f>
        <v>10</v>
      </c>
      <c r="J1064" s="29">
        <f>J1065+J1066+J1067</f>
        <v>0</v>
      </c>
      <c r="K1064" s="29">
        <f>K1065+K1066+K1067</f>
        <v>10</v>
      </c>
      <c r="L1064" s="80"/>
    </row>
    <row r="1065" spans="1:12" s="82" customFormat="1" ht="13.5" customHeight="1">
      <c r="A1065" s="407"/>
      <c r="C1065" s="149"/>
      <c r="D1065" s="444" t="s">
        <v>278</v>
      </c>
      <c r="E1065" s="444"/>
      <c r="F1065" s="444"/>
      <c r="G1065" s="444"/>
      <c r="H1065" s="444"/>
      <c r="I1065" s="29">
        <v>10</v>
      </c>
      <c r="J1065" s="77"/>
      <c r="K1065" s="80">
        <f>SUM(I1065:J1065)</f>
        <v>10</v>
      </c>
      <c r="L1065" s="80"/>
    </row>
    <row r="1066" spans="1:12" s="82" customFormat="1" ht="13.5" customHeight="1" hidden="1">
      <c r="A1066" s="407"/>
      <c r="C1066" s="149"/>
      <c r="D1066" s="444" t="s">
        <v>280</v>
      </c>
      <c r="E1066" s="444"/>
      <c r="F1066" s="444"/>
      <c r="G1066" s="444"/>
      <c r="H1066" s="444"/>
      <c r="I1066" s="29"/>
      <c r="J1066" s="77"/>
      <c r="K1066" s="80">
        <f>SUM(I1066:J1066)</f>
        <v>0</v>
      </c>
      <c r="L1066" s="80"/>
    </row>
    <row r="1067" spans="1:12" s="82" customFormat="1" ht="13.5" customHeight="1" hidden="1">
      <c r="A1067" s="407"/>
      <c r="C1067" s="149"/>
      <c r="D1067" s="444" t="s">
        <v>281</v>
      </c>
      <c r="E1067" s="444"/>
      <c r="F1067" s="444"/>
      <c r="G1067" s="444"/>
      <c r="H1067" s="444"/>
      <c r="I1067" s="29"/>
      <c r="J1067" s="77"/>
      <c r="K1067" s="80">
        <f>SUM(I1067:J1067)</f>
        <v>0</v>
      </c>
      <c r="L1067" s="80"/>
    </row>
    <row r="1068" spans="1:12" s="82" customFormat="1" ht="8.25" customHeight="1">
      <c r="A1068" s="407"/>
      <c r="C1068" s="149"/>
      <c r="D1068" s="85"/>
      <c r="E1068" s="85"/>
      <c r="F1068" s="85"/>
      <c r="G1068" s="85"/>
      <c r="H1068" s="85"/>
      <c r="I1068" s="29"/>
      <c r="J1068" s="77"/>
      <c r="K1068" s="80"/>
      <c r="L1068" s="80"/>
    </row>
    <row r="1069" spans="1:12" s="82" customFormat="1" ht="13.5" customHeight="1" hidden="1">
      <c r="A1069" s="407"/>
      <c r="C1069" s="149"/>
      <c r="D1069" s="85"/>
      <c r="E1069" s="85"/>
      <c r="F1069" s="85"/>
      <c r="G1069" s="85"/>
      <c r="H1069" s="85"/>
      <c r="I1069" s="29"/>
      <c r="J1069" s="77"/>
      <c r="K1069" s="80"/>
      <c r="L1069" s="80"/>
    </row>
    <row r="1070" spans="1:12" s="82" customFormat="1" ht="13.5" customHeight="1">
      <c r="A1070" s="407"/>
      <c r="C1070" s="142" t="s">
        <v>403</v>
      </c>
      <c r="D1070" s="450" t="s">
        <v>404</v>
      </c>
      <c r="E1070" s="450"/>
      <c r="F1070" s="450"/>
      <c r="G1070" s="450"/>
      <c r="H1070" s="450"/>
      <c r="I1070" s="17"/>
      <c r="J1070" s="126"/>
      <c r="K1070" s="126"/>
      <c r="L1070" s="80"/>
    </row>
    <row r="1071" spans="1:12" s="82" customFormat="1" ht="13.5" customHeight="1">
      <c r="A1071" s="407"/>
      <c r="C1071" s="154"/>
      <c r="D1071" s="447" t="s">
        <v>37</v>
      </c>
      <c r="E1071" s="447"/>
      <c r="F1071" s="447"/>
      <c r="G1071" s="447"/>
      <c r="H1071" s="447"/>
      <c r="I1071" s="77">
        <f>SUM(I1072:I1074)</f>
        <v>7324</v>
      </c>
      <c r="J1071" s="77">
        <f>SUM(J1072:J1074)</f>
        <v>0</v>
      </c>
      <c r="K1071" s="77">
        <f>SUM(K1072:K1074)</f>
        <v>7324</v>
      </c>
      <c r="L1071" s="80"/>
    </row>
    <row r="1072" spans="1:12" s="82" customFormat="1" ht="13.5" customHeight="1">
      <c r="A1072" s="407"/>
      <c r="C1072" s="154"/>
      <c r="D1072" s="446" t="s">
        <v>5</v>
      </c>
      <c r="E1072" s="446"/>
      <c r="F1072" s="446"/>
      <c r="G1072" s="446"/>
      <c r="H1072" s="446"/>
      <c r="I1072" s="29">
        <v>7324</v>
      </c>
      <c r="J1072" s="80"/>
      <c r="K1072" s="80">
        <f>SUM(I1072:J1072)</f>
        <v>7324</v>
      </c>
      <c r="L1072" s="80"/>
    </row>
    <row r="1073" spans="1:12" s="82" customFormat="1" ht="13.5" customHeight="1" hidden="1">
      <c r="A1073" s="407"/>
      <c r="C1073" s="154"/>
      <c r="D1073" s="446" t="s">
        <v>6</v>
      </c>
      <c r="E1073" s="446"/>
      <c r="F1073" s="446"/>
      <c r="G1073" s="446"/>
      <c r="H1073" s="446"/>
      <c r="I1073" s="29"/>
      <c r="J1073" s="80"/>
      <c r="K1073" s="80">
        <f>SUM(I1073:J1073)</f>
        <v>0</v>
      </c>
      <c r="L1073" s="80"/>
    </row>
    <row r="1074" spans="1:12" s="82" customFormat="1" ht="13.5" customHeight="1" hidden="1">
      <c r="A1074" s="407"/>
      <c r="C1074" s="154"/>
      <c r="D1074" s="446" t="s">
        <v>7</v>
      </c>
      <c r="E1074" s="446"/>
      <c r="F1074" s="446"/>
      <c r="G1074" s="446"/>
      <c r="H1074" s="446"/>
      <c r="I1074" s="29"/>
      <c r="J1074" s="78"/>
      <c r="K1074" s="80">
        <f>SUM(I1074:J1074)</f>
        <v>0</v>
      </c>
      <c r="L1074" s="80"/>
    </row>
    <row r="1075" spans="1:12" s="82" customFormat="1" ht="13.5" customHeight="1">
      <c r="A1075" s="407"/>
      <c r="C1075" s="154"/>
      <c r="D1075" s="447" t="s">
        <v>38</v>
      </c>
      <c r="E1075" s="447"/>
      <c r="F1075" s="447"/>
      <c r="G1075" s="447"/>
      <c r="H1075" s="447"/>
      <c r="I1075" s="253">
        <f>SUM(I1076:I1081)</f>
        <v>7324</v>
      </c>
      <c r="J1075" s="253">
        <f>SUM(J1076:J1081)</f>
        <v>0</v>
      </c>
      <c r="K1075" s="253">
        <f>SUM(K1076:K1081)</f>
        <v>7324</v>
      </c>
      <c r="L1075" s="80"/>
    </row>
    <row r="1076" spans="1:12" s="82" customFormat="1" ht="13.5" customHeight="1" hidden="1">
      <c r="A1076" s="407"/>
      <c r="C1076" s="154"/>
      <c r="D1076" s="446" t="s">
        <v>289</v>
      </c>
      <c r="E1076" s="446"/>
      <c r="F1076" s="446"/>
      <c r="G1076" s="446"/>
      <c r="H1076" s="446"/>
      <c r="I1076" s="29"/>
      <c r="J1076" s="80"/>
      <c r="K1076" s="80">
        <f aca="true" t="shared" si="69" ref="K1076:K1081">SUM(I1076:J1076)</f>
        <v>0</v>
      </c>
      <c r="L1076" s="80"/>
    </row>
    <row r="1077" spans="1:12" s="82" customFormat="1" ht="13.5" customHeight="1" hidden="1">
      <c r="A1077" s="407"/>
      <c r="C1077" s="151"/>
      <c r="D1077" s="444" t="s">
        <v>8</v>
      </c>
      <c r="E1077" s="448"/>
      <c r="F1077" s="448"/>
      <c r="G1077" s="448"/>
      <c r="H1077" s="448"/>
      <c r="I1077" s="29"/>
      <c r="J1077" s="80"/>
      <c r="K1077" s="80">
        <f t="shared" si="69"/>
        <v>0</v>
      </c>
      <c r="L1077" s="80"/>
    </row>
    <row r="1078" spans="1:12" s="82" customFormat="1" ht="14.25" customHeight="1">
      <c r="A1078" s="407"/>
      <c r="C1078" s="149"/>
      <c r="D1078" s="444" t="s">
        <v>10</v>
      </c>
      <c r="E1078" s="444"/>
      <c r="F1078" s="444"/>
      <c r="G1078" s="444"/>
      <c r="H1078" s="444"/>
      <c r="I1078" s="29">
        <v>7324</v>
      </c>
      <c r="J1078" s="80"/>
      <c r="K1078" s="80">
        <f t="shared" si="69"/>
        <v>7324</v>
      </c>
      <c r="L1078" s="80"/>
    </row>
    <row r="1079" spans="1:12" s="82" customFormat="1" ht="13.5" customHeight="1" hidden="1">
      <c r="A1079" s="407"/>
      <c r="C1079" s="149"/>
      <c r="D1079" s="444" t="s">
        <v>9</v>
      </c>
      <c r="E1079" s="444"/>
      <c r="F1079" s="444"/>
      <c r="G1079" s="444"/>
      <c r="H1079" s="444"/>
      <c r="I1079" s="29"/>
      <c r="J1079" s="80"/>
      <c r="K1079" s="80">
        <f t="shared" si="69"/>
        <v>0</v>
      </c>
      <c r="L1079" s="80"/>
    </row>
    <row r="1080" spans="1:12" s="82" customFormat="1" ht="13.5" customHeight="1" hidden="1">
      <c r="A1080" s="407"/>
      <c r="C1080" s="151"/>
      <c r="D1080" s="444" t="s">
        <v>11</v>
      </c>
      <c r="E1080" s="444"/>
      <c r="F1080" s="444"/>
      <c r="G1080" s="444"/>
      <c r="H1080" s="444"/>
      <c r="I1080" s="29"/>
      <c r="J1080" s="77"/>
      <c r="K1080" s="80">
        <f t="shared" si="69"/>
        <v>0</v>
      </c>
      <c r="L1080" s="80"/>
    </row>
    <row r="1081" spans="1:12" s="82" customFormat="1" ht="13.5" customHeight="1" hidden="1">
      <c r="A1081" s="407"/>
      <c r="C1081" s="149"/>
      <c r="D1081" s="444" t="s">
        <v>12</v>
      </c>
      <c r="E1081" s="444"/>
      <c r="F1081" s="444"/>
      <c r="G1081" s="444"/>
      <c r="H1081" s="444"/>
      <c r="I1081" s="29"/>
      <c r="J1081" s="80"/>
      <c r="K1081" s="80">
        <f t="shared" si="69"/>
        <v>0</v>
      </c>
      <c r="L1081" s="80"/>
    </row>
    <row r="1082" spans="1:12" s="82" customFormat="1" ht="13.5" customHeight="1">
      <c r="A1082" s="407"/>
      <c r="C1082" s="149"/>
      <c r="D1082" s="445" t="s">
        <v>277</v>
      </c>
      <c r="E1082" s="445"/>
      <c r="F1082" s="445"/>
      <c r="G1082" s="445"/>
      <c r="H1082" s="445"/>
      <c r="I1082" s="77">
        <f>I1071-I1075</f>
        <v>0</v>
      </c>
      <c r="J1082" s="77">
        <f>J1071-J1075</f>
        <v>0</v>
      </c>
      <c r="K1082" s="77">
        <f>K1071-K1075</f>
        <v>0</v>
      </c>
      <c r="L1082" s="80"/>
    </row>
    <row r="1083" spans="1:12" s="82" customFormat="1" ht="12.75" customHeight="1">
      <c r="A1083" s="407"/>
      <c r="C1083" s="149"/>
      <c r="D1083" s="444" t="s">
        <v>279</v>
      </c>
      <c r="E1083" s="444"/>
      <c r="F1083" s="444"/>
      <c r="G1083" s="444"/>
      <c r="H1083" s="444"/>
      <c r="I1083" s="29">
        <f>I1084+I1085+I1086</f>
        <v>0</v>
      </c>
      <c r="J1083" s="29">
        <f>J1084+J1085+J1086</f>
        <v>0</v>
      </c>
      <c r="K1083" s="29">
        <f>K1084+K1085+K1086</f>
        <v>0</v>
      </c>
      <c r="L1083" s="80"/>
    </row>
    <row r="1084" spans="1:12" s="82" customFormat="1" ht="13.5" customHeight="1" hidden="1">
      <c r="A1084" s="407"/>
      <c r="C1084" s="149"/>
      <c r="D1084" s="444" t="s">
        <v>278</v>
      </c>
      <c r="E1084" s="444"/>
      <c r="F1084" s="444"/>
      <c r="G1084" s="444"/>
      <c r="H1084" s="444"/>
      <c r="I1084" s="29"/>
      <c r="J1084" s="77"/>
      <c r="K1084" s="80">
        <f>SUM(I1084:J1084)</f>
        <v>0</v>
      </c>
      <c r="L1084" s="80"/>
    </row>
    <row r="1085" spans="1:12" s="82" customFormat="1" ht="13.5" customHeight="1" hidden="1">
      <c r="A1085" s="407"/>
      <c r="C1085" s="149"/>
      <c r="D1085" s="444" t="s">
        <v>280</v>
      </c>
      <c r="E1085" s="444"/>
      <c r="F1085" s="444"/>
      <c r="G1085" s="444"/>
      <c r="H1085" s="444"/>
      <c r="I1085" s="29"/>
      <c r="J1085" s="77"/>
      <c r="K1085" s="80">
        <f>SUM(I1085:J1085)</f>
        <v>0</v>
      </c>
      <c r="L1085" s="80"/>
    </row>
    <row r="1086" spans="1:12" s="82" customFormat="1" ht="13.5" customHeight="1" hidden="1">
      <c r="A1086" s="407"/>
      <c r="C1086" s="149"/>
      <c r="D1086" s="444" t="s">
        <v>281</v>
      </c>
      <c r="E1086" s="444"/>
      <c r="F1086" s="444"/>
      <c r="G1086" s="444"/>
      <c r="H1086" s="444"/>
      <c r="I1086" s="29"/>
      <c r="J1086" s="77"/>
      <c r="K1086" s="80">
        <f>SUM(I1086:J1086)</f>
        <v>0</v>
      </c>
      <c r="L1086" s="80"/>
    </row>
    <row r="1087" spans="1:12" s="82" customFormat="1" ht="16.5" customHeight="1">
      <c r="A1087" s="407"/>
      <c r="C1087" s="149"/>
      <c r="D1087" s="81"/>
      <c r="E1087" s="81"/>
      <c r="F1087" s="81"/>
      <c r="G1087" s="81"/>
      <c r="H1087" s="81"/>
      <c r="I1087" s="29"/>
      <c r="J1087" s="80"/>
      <c r="K1087" s="80"/>
      <c r="L1087" s="80"/>
    </row>
    <row r="1088" spans="1:13" s="6" customFormat="1" ht="13.5" customHeight="1">
      <c r="A1088" s="409">
        <f>'2.pielikums'!J51-'3.pielik.'!K1088</f>
        <v>0</v>
      </c>
      <c r="C1088" s="150" t="s">
        <v>60</v>
      </c>
      <c r="D1088" s="437" t="s">
        <v>121</v>
      </c>
      <c r="E1088" s="437"/>
      <c r="F1088" s="437"/>
      <c r="G1088" s="437"/>
      <c r="H1088" s="437"/>
      <c r="I1088" s="134">
        <f>I1095+I1168+I1187+I1206+I1262+I1335+I1443+I1498+I1516+I1535+I1554+I1573+I1592+I1630+I1668+I1705+I1762+I1854+I1611+I1649+I1927+I1686+I1943</f>
        <v>4990012</v>
      </c>
      <c r="J1088" s="134">
        <f>J1095+J1168+J1187+J1206+J1262+J1335+J1443+J1498+J1516+J1535+J1554+J1573+J1592+J1630+J1668+J1705+J1762+J1854+J1611+J1649+J1927+J1686+J1943</f>
        <v>179312</v>
      </c>
      <c r="K1088" s="134">
        <f>K1095+K1168+K1187+K1206+K1262+K1335+K1443+K1498+K1516+K1535+K1554+K1573+K1592+K1630+K1668+K1705+K1762+K1854+K1611+K1649+K1927+K1686+K1943</f>
        <v>5169324</v>
      </c>
      <c r="L1088" s="93"/>
      <c r="M1088" s="91"/>
    </row>
    <row r="1089" spans="1:13" s="15" customFormat="1" ht="12" customHeight="1">
      <c r="A1089" s="407"/>
      <c r="C1089" s="151"/>
      <c r="D1089" s="16"/>
      <c r="E1089" s="16"/>
      <c r="F1089" s="16"/>
      <c r="G1089" s="16"/>
      <c r="H1089" s="16"/>
      <c r="I1089" s="77"/>
      <c r="J1089" s="78"/>
      <c r="K1089" s="78"/>
      <c r="L1089" s="127"/>
      <c r="M1089" s="95"/>
    </row>
    <row r="1090" spans="1:13" s="15" customFormat="1" ht="13.5" customHeight="1">
      <c r="A1090" s="407"/>
      <c r="C1090" s="142" t="s">
        <v>60</v>
      </c>
      <c r="D1090" s="450" t="s">
        <v>296</v>
      </c>
      <c r="E1090" s="450"/>
      <c r="F1090" s="450"/>
      <c r="G1090" s="450"/>
      <c r="H1090" s="450"/>
      <c r="I1090" s="17"/>
      <c r="J1090" s="126"/>
      <c r="K1090" s="126"/>
      <c r="L1090" s="127"/>
      <c r="M1090" s="95"/>
    </row>
    <row r="1091" spans="1:13" s="79" customFormat="1" ht="13.5" customHeight="1">
      <c r="A1091" s="407"/>
      <c r="C1091" s="151"/>
      <c r="D1091" s="447" t="s">
        <v>37</v>
      </c>
      <c r="E1091" s="447"/>
      <c r="F1091" s="447"/>
      <c r="G1091" s="447"/>
      <c r="H1091" s="447"/>
      <c r="I1091" s="77">
        <f>SUM(I1092:I1094)</f>
        <v>506713</v>
      </c>
      <c r="J1091" s="77">
        <f>SUM(J1092:J1094)</f>
        <v>22230</v>
      </c>
      <c r="K1091" s="77">
        <f>SUM(K1092:K1094)</f>
        <v>528943</v>
      </c>
      <c r="L1091" s="80"/>
      <c r="M1091" s="82"/>
    </row>
    <row r="1092" spans="1:13" s="79" customFormat="1" ht="13.5" customHeight="1">
      <c r="A1092" s="407"/>
      <c r="C1092" s="151"/>
      <c r="D1092" s="446" t="s">
        <v>5</v>
      </c>
      <c r="E1092" s="446"/>
      <c r="F1092" s="446"/>
      <c r="G1092" s="446"/>
      <c r="H1092" s="446"/>
      <c r="I1092" s="29">
        <f aca="true" t="shared" si="70" ref="I1092:K1094">I1110+I1128+I1146</f>
        <v>506713</v>
      </c>
      <c r="J1092" s="29">
        <f t="shared" si="70"/>
        <v>22230</v>
      </c>
      <c r="K1092" s="29">
        <f t="shared" si="70"/>
        <v>528943</v>
      </c>
      <c r="L1092" s="80"/>
      <c r="M1092" s="82"/>
    </row>
    <row r="1093" spans="1:13" s="79" customFormat="1" ht="2.25" customHeight="1" hidden="1">
      <c r="A1093" s="407"/>
      <c r="C1093" s="151"/>
      <c r="D1093" s="446" t="s">
        <v>6</v>
      </c>
      <c r="E1093" s="446"/>
      <c r="F1093" s="446"/>
      <c r="G1093" s="446"/>
      <c r="H1093" s="446"/>
      <c r="I1093" s="29">
        <f t="shared" si="70"/>
        <v>0</v>
      </c>
      <c r="J1093" s="29">
        <f t="shared" si="70"/>
        <v>0</v>
      </c>
      <c r="K1093" s="29">
        <f t="shared" si="70"/>
        <v>0</v>
      </c>
      <c r="L1093" s="80"/>
      <c r="M1093" s="82"/>
    </row>
    <row r="1094" spans="1:13" s="79" customFormat="1" ht="13.5" customHeight="1" hidden="1">
      <c r="A1094" s="407"/>
      <c r="C1094" s="151"/>
      <c r="D1094" s="446" t="s">
        <v>7</v>
      </c>
      <c r="E1094" s="446"/>
      <c r="F1094" s="446"/>
      <c r="G1094" s="446"/>
      <c r="H1094" s="446"/>
      <c r="I1094" s="29">
        <f t="shared" si="70"/>
        <v>0</v>
      </c>
      <c r="J1094" s="29">
        <f t="shared" si="70"/>
        <v>0</v>
      </c>
      <c r="K1094" s="29">
        <f t="shared" si="70"/>
        <v>0</v>
      </c>
      <c r="L1094" s="80"/>
      <c r="M1094" s="82"/>
    </row>
    <row r="1095" spans="1:13" s="79" customFormat="1" ht="13.5" customHeight="1">
      <c r="A1095" s="407"/>
      <c r="C1095" s="151"/>
      <c r="D1095" s="447" t="s">
        <v>38</v>
      </c>
      <c r="E1095" s="447"/>
      <c r="F1095" s="447"/>
      <c r="G1095" s="447"/>
      <c r="H1095" s="447"/>
      <c r="I1095" s="253">
        <f>SUM(I1096:I1101)</f>
        <v>506713</v>
      </c>
      <c r="J1095" s="253">
        <f>SUM(J1096:J1101)</f>
        <v>22230</v>
      </c>
      <c r="K1095" s="253">
        <f>SUM(K1096:K1101)</f>
        <v>528943</v>
      </c>
      <c r="L1095" s="80"/>
      <c r="M1095" s="82"/>
    </row>
    <row r="1096" spans="1:13" s="79" customFormat="1" ht="13.5" customHeight="1">
      <c r="A1096" s="407"/>
      <c r="C1096" s="151"/>
      <c r="D1096" s="446" t="s">
        <v>289</v>
      </c>
      <c r="E1096" s="446"/>
      <c r="F1096" s="446"/>
      <c r="G1096" s="446"/>
      <c r="H1096" s="446"/>
      <c r="I1096" s="29">
        <f aca="true" t="shared" si="71" ref="I1096:K1098">I1114+I1132+I1150</f>
        <v>68436</v>
      </c>
      <c r="J1096" s="29">
        <f t="shared" si="71"/>
        <v>955</v>
      </c>
      <c r="K1096" s="29">
        <f t="shared" si="71"/>
        <v>69391</v>
      </c>
      <c r="L1096" s="80"/>
      <c r="M1096" s="82"/>
    </row>
    <row r="1097" spans="1:13" s="79" customFormat="1" ht="13.5" customHeight="1">
      <c r="A1097" s="407"/>
      <c r="C1097" s="151"/>
      <c r="D1097" s="444" t="s">
        <v>8</v>
      </c>
      <c r="E1097" s="448"/>
      <c r="F1097" s="448"/>
      <c r="G1097" s="448"/>
      <c r="H1097" s="448"/>
      <c r="I1097" s="29">
        <f t="shared" si="71"/>
        <v>106989</v>
      </c>
      <c r="J1097" s="29">
        <f t="shared" si="71"/>
        <v>0</v>
      </c>
      <c r="K1097" s="29">
        <f t="shared" si="71"/>
        <v>106989</v>
      </c>
      <c r="L1097" s="80"/>
      <c r="M1097" s="82"/>
    </row>
    <row r="1098" spans="1:12" s="82" customFormat="1" ht="13.5" customHeight="1">
      <c r="A1098" s="407"/>
      <c r="C1098" s="149"/>
      <c r="D1098" s="444" t="s">
        <v>10</v>
      </c>
      <c r="E1098" s="444"/>
      <c r="F1098" s="444"/>
      <c r="G1098" s="444"/>
      <c r="H1098" s="444"/>
      <c r="I1098" s="29">
        <f t="shared" si="71"/>
        <v>327277</v>
      </c>
      <c r="J1098" s="29">
        <f t="shared" si="71"/>
        <v>20000</v>
      </c>
      <c r="K1098" s="29">
        <f t="shared" si="71"/>
        <v>347277</v>
      </c>
      <c r="L1098" s="80"/>
    </row>
    <row r="1099" spans="1:12" s="82" customFormat="1" ht="13.5" customHeight="1" hidden="1">
      <c r="A1099" s="407"/>
      <c r="C1099" s="149"/>
      <c r="D1099" s="444" t="s">
        <v>9</v>
      </c>
      <c r="E1099" s="444"/>
      <c r="F1099" s="444"/>
      <c r="G1099" s="444"/>
      <c r="H1099" s="444"/>
      <c r="I1099" s="29">
        <f>I1117+I1135+I1153</f>
        <v>0</v>
      </c>
      <c r="J1099" s="29"/>
      <c r="K1099" s="29">
        <f>K1117+K1135+K1153</f>
        <v>0</v>
      </c>
      <c r="L1099" s="80"/>
    </row>
    <row r="1100" spans="1:12" s="82" customFormat="1" ht="13.5" customHeight="1">
      <c r="A1100" s="407"/>
      <c r="C1100" s="149"/>
      <c r="D1100" s="444" t="s">
        <v>11</v>
      </c>
      <c r="E1100" s="444"/>
      <c r="F1100" s="444"/>
      <c r="G1100" s="444"/>
      <c r="H1100" s="444"/>
      <c r="I1100" s="29">
        <f>I1118+I1136+I1154</f>
        <v>1890</v>
      </c>
      <c r="J1100" s="29">
        <f>J1118+J1136+J1154</f>
        <v>0</v>
      </c>
      <c r="K1100" s="29">
        <f>K1118+K1136+K1154</f>
        <v>1890</v>
      </c>
      <c r="L1100" s="80"/>
    </row>
    <row r="1101" spans="1:13" s="79" customFormat="1" ht="13.5" customHeight="1">
      <c r="A1101" s="407"/>
      <c r="C1101" s="151"/>
      <c r="D1101" s="444" t="s">
        <v>12</v>
      </c>
      <c r="E1101" s="444"/>
      <c r="F1101" s="444"/>
      <c r="G1101" s="444"/>
      <c r="H1101" s="444"/>
      <c r="I1101" s="29">
        <f>I1119+I1137+I1155</f>
        <v>2121</v>
      </c>
      <c r="J1101" s="29">
        <f>J1119+J1137+J1155</f>
        <v>1275</v>
      </c>
      <c r="K1101" s="29">
        <f>K1119+K1137+K1155</f>
        <v>3396</v>
      </c>
      <c r="L1101" s="80"/>
      <c r="M1101" s="82"/>
    </row>
    <row r="1102" spans="1:13" s="79" customFormat="1" ht="13.5" customHeight="1">
      <c r="A1102" s="407"/>
      <c r="C1102" s="151"/>
      <c r="D1102" s="445" t="s">
        <v>277</v>
      </c>
      <c r="E1102" s="445"/>
      <c r="F1102" s="445"/>
      <c r="G1102" s="445"/>
      <c r="H1102" s="445"/>
      <c r="I1102" s="77">
        <f>I1091-I1095</f>
        <v>0</v>
      </c>
      <c r="J1102" s="77">
        <f>J1091-J1095</f>
        <v>0</v>
      </c>
      <c r="K1102" s="77">
        <f>K1091-K1095</f>
        <v>0</v>
      </c>
      <c r="L1102" s="80"/>
      <c r="M1102" s="82"/>
    </row>
    <row r="1103" spans="1:13" s="79" customFormat="1" ht="12.75" customHeight="1">
      <c r="A1103" s="407"/>
      <c r="C1103" s="151"/>
      <c r="D1103" s="444" t="s">
        <v>279</v>
      </c>
      <c r="E1103" s="444"/>
      <c r="F1103" s="444"/>
      <c r="G1103" s="444"/>
      <c r="H1103" s="444"/>
      <c r="I1103" s="29">
        <f>I1104+I1105+I1106</f>
        <v>0</v>
      </c>
      <c r="J1103" s="29">
        <f>J1104+J1105+J1106</f>
        <v>0</v>
      </c>
      <c r="K1103" s="29">
        <f>K1104+K1105+K1106</f>
        <v>0</v>
      </c>
      <c r="L1103" s="80"/>
      <c r="M1103" s="82"/>
    </row>
    <row r="1104" spans="1:13" s="79" customFormat="1" ht="13.5" customHeight="1" hidden="1">
      <c r="A1104" s="407"/>
      <c r="C1104" s="151"/>
      <c r="D1104" s="444" t="s">
        <v>278</v>
      </c>
      <c r="E1104" s="444"/>
      <c r="F1104" s="444"/>
      <c r="G1104" s="444"/>
      <c r="H1104" s="444"/>
      <c r="I1104" s="29">
        <f aca="true" t="shared" si="72" ref="I1104:K1106">I1122+I1140+I1158</f>
        <v>0</v>
      </c>
      <c r="J1104" s="29">
        <f t="shared" si="72"/>
        <v>0</v>
      </c>
      <c r="K1104" s="29">
        <f t="shared" si="72"/>
        <v>0</v>
      </c>
      <c r="L1104" s="80"/>
      <c r="M1104" s="82"/>
    </row>
    <row r="1105" spans="1:13" s="79" customFormat="1" ht="13.5" customHeight="1" hidden="1">
      <c r="A1105" s="407"/>
      <c r="C1105" s="151"/>
      <c r="D1105" s="444" t="s">
        <v>280</v>
      </c>
      <c r="E1105" s="444"/>
      <c r="F1105" s="444"/>
      <c r="G1105" s="444"/>
      <c r="H1105" s="444"/>
      <c r="I1105" s="29">
        <f t="shared" si="72"/>
        <v>0</v>
      </c>
      <c r="J1105" s="29">
        <f t="shared" si="72"/>
        <v>0</v>
      </c>
      <c r="K1105" s="29">
        <f t="shared" si="72"/>
        <v>0</v>
      </c>
      <c r="L1105" s="80"/>
      <c r="M1105" s="82"/>
    </row>
    <row r="1106" spans="1:13" s="79" customFormat="1" ht="13.5" customHeight="1" hidden="1">
      <c r="A1106" s="407"/>
      <c r="C1106" s="151"/>
      <c r="D1106" s="444" t="s">
        <v>281</v>
      </c>
      <c r="E1106" s="444"/>
      <c r="F1106" s="444"/>
      <c r="G1106" s="444"/>
      <c r="H1106" s="444"/>
      <c r="I1106" s="29">
        <f t="shared" si="72"/>
        <v>0</v>
      </c>
      <c r="J1106" s="29">
        <f t="shared" si="72"/>
        <v>0</v>
      </c>
      <c r="K1106" s="29">
        <f t="shared" si="72"/>
        <v>0</v>
      </c>
      <c r="L1106" s="80"/>
      <c r="M1106" s="82"/>
    </row>
    <row r="1107" spans="1:13" s="79" customFormat="1" ht="14.25" customHeight="1">
      <c r="A1107" s="407"/>
      <c r="C1107" s="151"/>
      <c r="D1107" s="85"/>
      <c r="E1107" s="85"/>
      <c r="F1107" s="85"/>
      <c r="G1107" s="85"/>
      <c r="H1107" s="85"/>
      <c r="I1107" s="29"/>
      <c r="J1107" s="77"/>
      <c r="K1107" s="77"/>
      <c r="L1107" s="80"/>
      <c r="M1107" s="82"/>
    </row>
    <row r="1108" spans="1:12" s="132" customFormat="1" ht="13.5" customHeight="1">
      <c r="A1108" s="411"/>
      <c r="C1108" s="135" t="s">
        <v>62</v>
      </c>
      <c r="D1108" s="436" t="s">
        <v>413</v>
      </c>
      <c r="E1108" s="436"/>
      <c r="F1108" s="436"/>
      <c r="G1108" s="436"/>
      <c r="H1108" s="436"/>
      <c r="I1108" s="136"/>
      <c r="J1108" s="131"/>
      <c r="K1108" s="131"/>
      <c r="L1108" s="131"/>
    </row>
    <row r="1109" spans="1:13" s="79" customFormat="1" ht="13.5" customHeight="1">
      <c r="A1109" s="407"/>
      <c r="C1109" s="151"/>
      <c r="D1109" s="447" t="s">
        <v>37</v>
      </c>
      <c r="E1109" s="447"/>
      <c r="F1109" s="447"/>
      <c r="G1109" s="447"/>
      <c r="H1109" s="447"/>
      <c r="I1109" s="77">
        <f>SUM(I1110:I1112)</f>
        <v>101674</v>
      </c>
      <c r="J1109" s="77">
        <f>SUM(J1110:J1112)</f>
        <v>1275</v>
      </c>
      <c r="K1109" s="77">
        <f>SUM(K1110:K1112)</f>
        <v>102949</v>
      </c>
      <c r="L1109" s="80"/>
      <c r="M1109" s="82"/>
    </row>
    <row r="1110" spans="1:13" s="79" customFormat="1" ht="12" customHeight="1">
      <c r="A1110" s="407"/>
      <c r="C1110" s="151"/>
      <c r="D1110" s="446" t="s">
        <v>5</v>
      </c>
      <c r="E1110" s="446"/>
      <c r="F1110" s="446"/>
      <c r="G1110" s="446"/>
      <c r="H1110" s="446"/>
      <c r="I1110" s="29">
        <f>410326-324777+15000+1125</f>
        <v>101674</v>
      </c>
      <c r="J1110" s="29">
        <f>1275</f>
        <v>1275</v>
      </c>
      <c r="K1110" s="29">
        <f>SUM(I1110:J1110)</f>
        <v>102949</v>
      </c>
      <c r="L1110" s="80"/>
      <c r="M1110" s="82"/>
    </row>
    <row r="1111" spans="1:13" s="79" customFormat="1" ht="13.5" customHeight="1" hidden="1">
      <c r="A1111" s="407"/>
      <c r="C1111" s="151"/>
      <c r="D1111" s="446" t="s">
        <v>6</v>
      </c>
      <c r="E1111" s="446"/>
      <c r="F1111" s="446"/>
      <c r="G1111" s="446"/>
      <c r="H1111" s="446"/>
      <c r="I1111" s="29"/>
      <c r="J1111" s="77"/>
      <c r="K1111" s="29">
        <f>SUM(I1111:J1111)</f>
        <v>0</v>
      </c>
      <c r="L1111" s="80"/>
      <c r="M1111" s="82"/>
    </row>
    <row r="1112" spans="1:13" s="79" customFormat="1" ht="13.5" customHeight="1" hidden="1">
      <c r="A1112" s="407"/>
      <c r="C1112" s="151"/>
      <c r="D1112" s="446" t="s">
        <v>7</v>
      </c>
      <c r="E1112" s="446"/>
      <c r="F1112" s="446"/>
      <c r="G1112" s="446"/>
      <c r="H1112" s="446"/>
      <c r="I1112" s="29"/>
      <c r="J1112" s="77"/>
      <c r="K1112" s="29">
        <f>SUM(I1112:J1112)</f>
        <v>0</v>
      </c>
      <c r="L1112" s="80"/>
      <c r="M1112" s="82"/>
    </row>
    <row r="1113" spans="1:13" s="79" customFormat="1" ht="13.5" customHeight="1">
      <c r="A1113" s="407"/>
      <c r="C1113" s="151"/>
      <c r="D1113" s="447" t="s">
        <v>38</v>
      </c>
      <c r="E1113" s="447"/>
      <c r="F1113" s="447"/>
      <c r="G1113" s="447"/>
      <c r="H1113" s="447"/>
      <c r="I1113" s="254">
        <f>SUM(I1114:I1119)</f>
        <v>101674</v>
      </c>
      <c r="J1113" s="254">
        <f>SUM(J1114:J1119)</f>
        <v>1275</v>
      </c>
      <c r="K1113" s="254">
        <f>SUM(K1114:K1119)</f>
        <v>102949</v>
      </c>
      <c r="L1113" s="80"/>
      <c r="M1113" s="82"/>
    </row>
    <row r="1114" spans="1:13" s="79" customFormat="1" ht="13.5" customHeight="1">
      <c r="A1114" s="407"/>
      <c r="C1114" s="151"/>
      <c r="D1114" s="446" t="s">
        <v>289</v>
      </c>
      <c r="E1114" s="446"/>
      <c r="F1114" s="446"/>
      <c r="G1114" s="446"/>
      <c r="H1114" s="446"/>
      <c r="I1114" s="29">
        <v>1196</v>
      </c>
      <c r="J1114" s="29"/>
      <c r="K1114" s="29">
        <f aca="true" t="shared" si="73" ref="K1114:K1119">SUM(I1114:J1114)</f>
        <v>1196</v>
      </c>
      <c r="L1114" s="80"/>
      <c r="M1114" s="82"/>
    </row>
    <row r="1115" spans="1:12" s="82" customFormat="1" ht="13.5" customHeight="1">
      <c r="A1115" s="407"/>
      <c r="C1115" s="149"/>
      <c r="D1115" s="444" t="s">
        <v>8</v>
      </c>
      <c r="E1115" s="448"/>
      <c r="F1115" s="448"/>
      <c r="G1115" s="448"/>
      <c r="H1115" s="448"/>
      <c r="I1115" s="29">
        <f>83357+15000</f>
        <v>98357</v>
      </c>
      <c r="J1115" s="80"/>
      <c r="K1115" s="29">
        <f t="shared" si="73"/>
        <v>98357</v>
      </c>
      <c r="L1115" s="80"/>
    </row>
    <row r="1116" spans="1:12" s="82" customFormat="1" ht="13.5" customHeight="1" hidden="1">
      <c r="A1116" s="407"/>
      <c r="C1116" s="149"/>
      <c r="D1116" s="444" t="s">
        <v>10</v>
      </c>
      <c r="E1116" s="444"/>
      <c r="F1116" s="444"/>
      <c r="G1116" s="444"/>
      <c r="H1116" s="444"/>
      <c r="I1116" s="29"/>
      <c r="J1116" s="80"/>
      <c r="K1116" s="29">
        <f t="shared" si="73"/>
        <v>0</v>
      </c>
      <c r="L1116" s="80"/>
    </row>
    <row r="1117" spans="1:12" s="82" customFormat="1" ht="13.5" customHeight="1" hidden="1">
      <c r="A1117" s="407"/>
      <c r="C1117" s="149"/>
      <c r="D1117" s="444" t="s">
        <v>9</v>
      </c>
      <c r="E1117" s="444"/>
      <c r="F1117" s="444"/>
      <c r="G1117" s="444"/>
      <c r="H1117" s="444"/>
      <c r="I1117" s="29"/>
      <c r="J1117" s="80"/>
      <c r="K1117" s="29">
        <f t="shared" si="73"/>
        <v>0</v>
      </c>
      <c r="L1117" s="80"/>
    </row>
    <row r="1118" spans="1:13" s="79" customFormat="1" ht="13.5" customHeight="1" hidden="1">
      <c r="A1118" s="407"/>
      <c r="C1118" s="151"/>
      <c r="D1118" s="444" t="s">
        <v>11</v>
      </c>
      <c r="E1118" s="444"/>
      <c r="F1118" s="444"/>
      <c r="G1118" s="444"/>
      <c r="H1118" s="444"/>
      <c r="I1118" s="29"/>
      <c r="J1118" s="77"/>
      <c r="K1118" s="29">
        <f t="shared" si="73"/>
        <v>0</v>
      </c>
      <c r="L1118" s="80"/>
      <c r="M1118" s="82"/>
    </row>
    <row r="1119" spans="1:12" s="82" customFormat="1" ht="13.5" customHeight="1">
      <c r="A1119" s="407"/>
      <c r="C1119" s="149"/>
      <c r="D1119" s="444" t="s">
        <v>12</v>
      </c>
      <c r="E1119" s="444"/>
      <c r="F1119" s="444"/>
      <c r="G1119" s="444"/>
      <c r="H1119" s="444"/>
      <c r="I1119" s="29">
        <f>996+1125</f>
        <v>2121</v>
      </c>
      <c r="J1119" s="80">
        <f>1275</f>
        <v>1275</v>
      </c>
      <c r="K1119" s="29">
        <f t="shared" si="73"/>
        <v>3396</v>
      </c>
      <c r="L1119" s="80"/>
    </row>
    <row r="1120" spans="1:12" s="82" customFormat="1" ht="13.5" customHeight="1">
      <c r="A1120" s="407"/>
      <c r="C1120" s="149"/>
      <c r="D1120" s="445" t="s">
        <v>277</v>
      </c>
      <c r="E1120" s="445"/>
      <c r="F1120" s="445"/>
      <c r="G1120" s="445"/>
      <c r="H1120" s="445"/>
      <c r="I1120" s="77">
        <f>I1109-I1113</f>
        <v>0</v>
      </c>
      <c r="J1120" s="77">
        <f>J1109-J1113</f>
        <v>0</v>
      </c>
      <c r="K1120" s="77">
        <f>K1109-K1113</f>
        <v>0</v>
      </c>
      <c r="L1120" s="80"/>
    </row>
    <row r="1121" spans="1:12" s="82" customFormat="1" ht="12.75" customHeight="1">
      <c r="A1121" s="407"/>
      <c r="C1121" s="149"/>
      <c r="D1121" s="444" t="s">
        <v>279</v>
      </c>
      <c r="E1121" s="444"/>
      <c r="F1121" s="444"/>
      <c r="G1121" s="444"/>
      <c r="H1121" s="444"/>
      <c r="I1121" s="29">
        <f>I1122+I1123+I1124</f>
        <v>0</v>
      </c>
      <c r="J1121" s="29">
        <f>J1122+J1123+J1124</f>
        <v>0</v>
      </c>
      <c r="K1121" s="29">
        <f>K1122+K1123+K1124</f>
        <v>0</v>
      </c>
      <c r="L1121" s="80"/>
    </row>
    <row r="1122" spans="1:12" s="82" customFormat="1" ht="13.5" customHeight="1" hidden="1">
      <c r="A1122" s="407"/>
      <c r="C1122" s="149"/>
      <c r="D1122" s="444" t="s">
        <v>278</v>
      </c>
      <c r="E1122" s="444"/>
      <c r="F1122" s="444"/>
      <c r="G1122" s="444"/>
      <c r="H1122" s="444"/>
      <c r="I1122" s="29"/>
      <c r="J1122" s="77"/>
      <c r="K1122" s="80">
        <f>SUM(I1122:J1122)</f>
        <v>0</v>
      </c>
      <c r="L1122" s="80"/>
    </row>
    <row r="1123" spans="1:12" s="82" customFormat="1" ht="13.5" customHeight="1" hidden="1">
      <c r="A1123" s="407"/>
      <c r="C1123" s="149"/>
      <c r="D1123" s="444" t="s">
        <v>280</v>
      </c>
      <c r="E1123" s="444"/>
      <c r="F1123" s="444"/>
      <c r="G1123" s="444"/>
      <c r="H1123" s="444"/>
      <c r="I1123" s="29"/>
      <c r="J1123" s="77"/>
      <c r="K1123" s="80">
        <f>SUM(I1123:J1123)</f>
        <v>0</v>
      </c>
      <c r="L1123" s="80"/>
    </row>
    <row r="1124" spans="1:12" s="82" customFormat="1" ht="13.5" customHeight="1" hidden="1">
      <c r="A1124" s="407"/>
      <c r="C1124" s="149"/>
      <c r="D1124" s="444" t="s">
        <v>281</v>
      </c>
      <c r="E1124" s="444"/>
      <c r="F1124" s="444"/>
      <c r="G1124" s="444"/>
      <c r="H1124" s="444"/>
      <c r="I1124" s="29"/>
      <c r="J1124" s="77"/>
      <c r="K1124" s="80">
        <f>SUM(I1124:J1124)</f>
        <v>0</v>
      </c>
      <c r="L1124" s="80"/>
    </row>
    <row r="1125" spans="1:12" s="82" customFormat="1" ht="24" customHeight="1">
      <c r="A1125" s="407"/>
      <c r="C1125" s="149"/>
      <c r="D1125" s="81"/>
      <c r="E1125" s="81"/>
      <c r="F1125" s="81"/>
      <c r="G1125" s="81"/>
      <c r="H1125" s="81"/>
      <c r="I1125" s="29"/>
      <c r="J1125" s="80"/>
      <c r="K1125" s="80"/>
      <c r="L1125" s="80"/>
    </row>
    <row r="1126" spans="1:12" s="95" customFormat="1" ht="13.5" customHeight="1">
      <c r="A1126" s="407"/>
      <c r="C1126" s="135" t="s">
        <v>62</v>
      </c>
      <c r="D1126" s="449" t="s">
        <v>210</v>
      </c>
      <c r="E1126" s="449"/>
      <c r="F1126" s="449"/>
      <c r="G1126" s="449"/>
      <c r="H1126" s="449"/>
      <c r="I1126" s="129"/>
      <c r="J1126" s="127"/>
      <c r="K1126" s="127"/>
      <c r="L1126" s="127"/>
    </row>
    <row r="1127" spans="1:12" s="82" customFormat="1" ht="13.5" customHeight="1">
      <c r="A1127" s="407"/>
      <c r="C1127" s="151"/>
      <c r="D1127" s="447" t="s">
        <v>37</v>
      </c>
      <c r="E1127" s="447"/>
      <c r="F1127" s="447"/>
      <c r="G1127" s="447"/>
      <c r="H1127" s="447"/>
      <c r="I1127" s="77">
        <f>SUM(I1128:I1130)</f>
        <v>327277</v>
      </c>
      <c r="J1127" s="77">
        <f>SUM(J1128:J1130)</f>
        <v>20000</v>
      </c>
      <c r="K1127" s="77">
        <f>SUM(K1128:K1130)</f>
        <v>347277</v>
      </c>
      <c r="L1127" s="80"/>
    </row>
    <row r="1128" spans="1:12" s="82" customFormat="1" ht="13.5" customHeight="1">
      <c r="A1128" s="407"/>
      <c r="C1128" s="151"/>
      <c r="D1128" s="446" t="s">
        <v>5</v>
      </c>
      <c r="E1128" s="446"/>
      <c r="F1128" s="446"/>
      <c r="G1128" s="446"/>
      <c r="H1128" s="446"/>
      <c r="I1128" s="29">
        <f>324777+2500</f>
        <v>327277</v>
      </c>
      <c r="J1128" s="29">
        <f>20000</f>
        <v>20000</v>
      </c>
      <c r="K1128" s="29">
        <f>SUM(I1128:J1128)</f>
        <v>347277</v>
      </c>
      <c r="L1128" s="80"/>
    </row>
    <row r="1129" spans="1:12" s="82" customFormat="1" ht="2.25" customHeight="1" hidden="1">
      <c r="A1129" s="407"/>
      <c r="C1129" s="151"/>
      <c r="D1129" s="446" t="s">
        <v>6</v>
      </c>
      <c r="E1129" s="446"/>
      <c r="F1129" s="446"/>
      <c r="G1129" s="446"/>
      <c r="H1129" s="446"/>
      <c r="I1129" s="29"/>
      <c r="J1129" s="77"/>
      <c r="K1129" s="29">
        <f>SUM(I1129:J1129)</f>
        <v>0</v>
      </c>
      <c r="L1129" s="80"/>
    </row>
    <row r="1130" spans="1:12" s="82" customFormat="1" ht="13.5" customHeight="1" hidden="1">
      <c r="A1130" s="407"/>
      <c r="C1130" s="151"/>
      <c r="D1130" s="446" t="s">
        <v>7</v>
      </c>
      <c r="E1130" s="446"/>
      <c r="F1130" s="446"/>
      <c r="G1130" s="446"/>
      <c r="H1130" s="446"/>
      <c r="I1130" s="29"/>
      <c r="J1130" s="77"/>
      <c r="K1130" s="29">
        <f>SUM(I1130:J1130)</f>
        <v>0</v>
      </c>
      <c r="L1130" s="80"/>
    </row>
    <row r="1131" spans="1:12" s="82" customFormat="1" ht="13.5" customHeight="1">
      <c r="A1131" s="407"/>
      <c r="C1131" s="151"/>
      <c r="D1131" s="447" t="s">
        <v>38</v>
      </c>
      <c r="E1131" s="447"/>
      <c r="F1131" s="447"/>
      <c r="G1131" s="447"/>
      <c r="H1131" s="447"/>
      <c r="I1131" s="254">
        <f>SUM(I1132:I1137)</f>
        <v>327277</v>
      </c>
      <c r="J1131" s="254">
        <f>SUM(J1132:J1137)</f>
        <v>20000</v>
      </c>
      <c r="K1131" s="254">
        <f>SUM(K1132:K1137)</f>
        <v>347277</v>
      </c>
      <c r="L1131" s="80"/>
    </row>
    <row r="1132" spans="1:12" s="82" customFormat="1" ht="13.5" customHeight="1" hidden="1">
      <c r="A1132" s="407"/>
      <c r="C1132" s="151"/>
      <c r="D1132" s="446" t="s">
        <v>289</v>
      </c>
      <c r="E1132" s="446"/>
      <c r="F1132" s="446"/>
      <c r="G1132" s="446"/>
      <c r="H1132" s="446"/>
      <c r="I1132" s="29"/>
      <c r="J1132" s="29"/>
      <c r="K1132" s="29">
        <f aca="true" t="shared" si="74" ref="K1132:K1137">SUM(I1132:J1132)</f>
        <v>0</v>
      </c>
      <c r="L1132" s="80"/>
    </row>
    <row r="1133" spans="1:12" s="82" customFormat="1" ht="13.5" customHeight="1" hidden="1">
      <c r="A1133" s="407"/>
      <c r="C1133" s="151"/>
      <c r="D1133" s="444" t="s">
        <v>8</v>
      </c>
      <c r="E1133" s="448"/>
      <c r="F1133" s="448"/>
      <c r="G1133" s="448"/>
      <c r="H1133" s="448"/>
      <c r="I1133" s="29"/>
      <c r="J1133" s="77"/>
      <c r="K1133" s="29">
        <f t="shared" si="74"/>
        <v>0</v>
      </c>
      <c r="L1133" s="80"/>
    </row>
    <row r="1134" spans="1:12" s="82" customFormat="1" ht="12.75" customHeight="1">
      <c r="A1134" s="407"/>
      <c r="C1134" s="151"/>
      <c r="D1134" s="444" t="s">
        <v>10</v>
      </c>
      <c r="E1134" s="444"/>
      <c r="F1134" s="444"/>
      <c r="G1134" s="444"/>
      <c r="H1134" s="444"/>
      <c r="I1134" s="29">
        <f>324777+2500</f>
        <v>327277</v>
      </c>
      <c r="J1134" s="29">
        <f>20000</f>
        <v>20000</v>
      </c>
      <c r="K1134" s="29">
        <f t="shared" si="74"/>
        <v>347277</v>
      </c>
      <c r="L1134" s="80"/>
    </row>
    <row r="1135" spans="1:12" s="82" customFormat="1" ht="13.5" customHeight="1" hidden="1">
      <c r="A1135" s="407"/>
      <c r="C1135" s="151"/>
      <c r="D1135" s="444" t="s">
        <v>9</v>
      </c>
      <c r="E1135" s="444"/>
      <c r="F1135" s="444"/>
      <c r="G1135" s="444"/>
      <c r="H1135" s="444"/>
      <c r="I1135" s="29"/>
      <c r="J1135" s="77"/>
      <c r="K1135" s="29">
        <f t="shared" si="74"/>
        <v>0</v>
      </c>
      <c r="L1135" s="80"/>
    </row>
    <row r="1136" spans="1:12" s="82" customFormat="1" ht="13.5" customHeight="1" hidden="1">
      <c r="A1136" s="407"/>
      <c r="C1136" s="149"/>
      <c r="D1136" s="444" t="s">
        <v>11</v>
      </c>
      <c r="E1136" s="444"/>
      <c r="F1136" s="444"/>
      <c r="G1136" s="444"/>
      <c r="H1136" s="444"/>
      <c r="I1136" s="29"/>
      <c r="J1136" s="80"/>
      <c r="K1136" s="29">
        <f t="shared" si="74"/>
        <v>0</v>
      </c>
      <c r="L1136" s="80"/>
    </row>
    <row r="1137" spans="1:12" s="82" customFormat="1" ht="13.5" customHeight="1" hidden="1">
      <c r="A1137" s="407"/>
      <c r="C1137" s="151"/>
      <c r="D1137" s="444" t="s">
        <v>12</v>
      </c>
      <c r="E1137" s="444"/>
      <c r="F1137" s="444"/>
      <c r="G1137" s="444"/>
      <c r="H1137" s="444"/>
      <c r="I1137" s="29"/>
      <c r="J1137" s="77"/>
      <c r="K1137" s="29">
        <f t="shared" si="74"/>
        <v>0</v>
      </c>
      <c r="L1137" s="80"/>
    </row>
    <row r="1138" spans="1:12" s="82" customFormat="1" ht="13.5" customHeight="1">
      <c r="A1138" s="407"/>
      <c r="C1138" s="151"/>
      <c r="D1138" s="445" t="s">
        <v>277</v>
      </c>
      <c r="E1138" s="445"/>
      <c r="F1138" s="445"/>
      <c r="G1138" s="445"/>
      <c r="H1138" s="445"/>
      <c r="I1138" s="77">
        <f>I1127-I1131</f>
        <v>0</v>
      </c>
      <c r="J1138" s="77">
        <f>J1127-J1131</f>
        <v>0</v>
      </c>
      <c r="K1138" s="77">
        <f>K1127-K1131</f>
        <v>0</v>
      </c>
      <c r="L1138" s="80"/>
    </row>
    <row r="1139" spans="1:12" s="82" customFormat="1" ht="13.5" customHeight="1">
      <c r="A1139" s="407"/>
      <c r="C1139" s="151"/>
      <c r="D1139" s="444" t="s">
        <v>279</v>
      </c>
      <c r="E1139" s="444"/>
      <c r="F1139" s="444"/>
      <c r="G1139" s="444"/>
      <c r="H1139" s="444"/>
      <c r="I1139" s="29">
        <f>I1140+I1141+I1142</f>
        <v>0</v>
      </c>
      <c r="J1139" s="29">
        <f>J1140+J1141+J1142</f>
        <v>0</v>
      </c>
      <c r="K1139" s="29">
        <f>K1140+K1141+K1142</f>
        <v>0</v>
      </c>
      <c r="L1139" s="80"/>
    </row>
    <row r="1140" spans="1:12" s="82" customFormat="1" ht="13.5" customHeight="1" hidden="1">
      <c r="A1140" s="407"/>
      <c r="C1140" s="151"/>
      <c r="D1140" s="444" t="s">
        <v>278</v>
      </c>
      <c r="E1140" s="444"/>
      <c r="F1140" s="444"/>
      <c r="G1140" s="444"/>
      <c r="H1140" s="444"/>
      <c r="I1140" s="29"/>
      <c r="J1140" s="77"/>
      <c r="K1140" s="80">
        <f>SUM(I1140:J1140)</f>
        <v>0</v>
      </c>
      <c r="L1140" s="80"/>
    </row>
    <row r="1141" spans="1:12" s="82" customFormat="1" ht="13.5" customHeight="1" hidden="1">
      <c r="A1141" s="407"/>
      <c r="C1141" s="151"/>
      <c r="D1141" s="444" t="s">
        <v>280</v>
      </c>
      <c r="E1141" s="444"/>
      <c r="F1141" s="444"/>
      <c r="G1141" s="444"/>
      <c r="H1141" s="444"/>
      <c r="I1141" s="29"/>
      <c r="J1141" s="77"/>
      <c r="K1141" s="80">
        <f>SUM(I1141:J1141)</f>
        <v>0</v>
      </c>
      <c r="L1141" s="80"/>
    </row>
    <row r="1142" spans="1:12" s="82" customFormat="1" ht="13.5" customHeight="1" hidden="1">
      <c r="A1142" s="407"/>
      <c r="C1142" s="151"/>
      <c r="D1142" s="444" t="s">
        <v>281</v>
      </c>
      <c r="E1142" s="444"/>
      <c r="F1142" s="444"/>
      <c r="G1142" s="444"/>
      <c r="H1142" s="444"/>
      <c r="I1142" s="29"/>
      <c r="J1142" s="77"/>
      <c r="K1142" s="80">
        <f>SUM(I1142:J1142)</f>
        <v>0</v>
      </c>
      <c r="L1142" s="80"/>
    </row>
    <row r="1143" spans="1:12" s="82" customFormat="1" ht="9" customHeight="1">
      <c r="A1143" s="407"/>
      <c r="C1143" s="149"/>
      <c r="D1143" s="81"/>
      <c r="E1143" s="81"/>
      <c r="F1143" s="81"/>
      <c r="G1143" s="81"/>
      <c r="H1143" s="81"/>
      <c r="I1143" s="29"/>
      <c r="J1143" s="80"/>
      <c r="K1143" s="80"/>
      <c r="L1143" s="80"/>
    </row>
    <row r="1144" spans="1:12" s="95" customFormat="1" ht="13.5" customHeight="1">
      <c r="A1144" s="407"/>
      <c r="C1144" s="153" t="s">
        <v>107</v>
      </c>
      <c r="D1144" s="449" t="s">
        <v>297</v>
      </c>
      <c r="E1144" s="449"/>
      <c r="F1144" s="449"/>
      <c r="G1144" s="449"/>
      <c r="H1144" s="449"/>
      <c r="I1144" s="129"/>
      <c r="J1144" s="127"/>
      <c r="K1144" s="127"/>
      <c r="L1144" s="127"/>
    </row>
    <row r="1145" spans="1:13" s="79" customFormat="1" ht="13.5" customHeight="1">
      <c r="A1145" s="407"/>
      <c r="C1145" s="151"/>
      <c r="D1145" s="447" t="s">
        <v>37</v>
      </c>
      <c r="E1145" s="447"/>
      <c r="F1145" s="447"/>
      <c r="G1145" s="447"/>
      <c r="H1145" s="447"/>
      <c r="I1145" s="77">
        <f>SUM(I1146:I1148)</f>
        <v>77762</v>
      </c>
      <c r="J1145" s="77">
        <f>SUM(J1146:J1148)</f>
        <v>955</v>
      </c>
      <c r="K1145" s="77">
        <f>SUM(K1146:K1148)</f>
        <v>78717</v>
      </c>
      <c r="L1145" s="80"/>
      <c r="M1145" s="82"/>
    </row>
    <row r="1146" spans="1:13" s="79" customFormat="1" ht="13.5" customHeight="1">
      <c r="A1146" s="407"/>
      <c r="C1146" s="151"/>
      <c r="D1146" s="446" t="s">
        <v>5</v>
      </c>
      <c r="E1146" s="446"/>
      <c r="F1146" s="446"/>
      <c r="G1146" s="446"/>
      <c r="H1146" s="446"/>
      <c r="I1146" s="29">
        <f>62491+15271</f>
        <v>77762</v>
      </c>
      <c r="J1146" s="80">
        <f>955</f>
        <v>955</v>
      </c>
      <c r="K1146" s="29">
        <f>SUM(I1146:J1146)</f>
        <v>78717</v>
      </c>
      <c r="L1146" s="80"/>
      <c r="M1146" s="82"/>
    </row>
    <row r="1147" spans="1:13" s="79" customFormat="1" ht="13.5" customHeight="1" hidden="1">
      <c r="A1147" s="407"/>
      <c r="C1147" s="151"/>
      <c r="D1147" s="446" t="s">
        <v>6</v>
      </c>
      <c r="E1147" s="446"/>
      <c r="F1147" s="446"/>
      <c r="G1147" s="446"/>
      <c r="H1147" s="446"/>
      <c r="I1147" s="29"/>
      <c r="J1147" s="78"/>
      <c r="K1147" s="29">
        <f>SUM(I1147:J1147)</f>
        <v>0</v>
      </c>
      <c r="L1147" s="80"/>
      <c r="M1147" s="82"/>
    </row>
    <row r="1148" spans="1:13" s="79" customFormat="1" ht="13.5" customHeight="1" hidden="1">
      <c r="A1148" s="407"/>
      <c r="C1148" s="151"/>
      <c r="D1148" s="446" t="s">
        <v>7</v>
      </c>
      <c r="E1148" s="446"/>
      <c r="F1148" s="446"/>
      <c r="G1148" s="446"/>
      <c r="H1148" s="446"/>
      <c r="I1148" s="29"/>
      <c r="J1148" s="78"/>
      <c r="K1148" s="29">
        <f>SUM(I1148:J1148)</f>
        <v>0</v>
      </c>
      <c r="L1148" s="80"/>
      <c r="M1148" s="82"/>
    </row>
    <row r="1149" spans="1:13" s="79" customFormat="1" ht="13.5" customHeight="1">
      <c r="A1149" s="407"/>
      <c r="C1149" s="151"/>
      <c r="D1149" s="447" t="s">
        <v>38</v>
      </c>
      <c r="E1149" s="447"/>
      <c r="F1149" s="447"/>
      <c r="G1149" s="447"/>
      <c r="H1149" s="447"/>
      <c r="I1149" s="254">
        <f>SUM(I1150:I1155)</f>
        <v>77762</v>
      </c>
      <c r="J1149" s="254">
        <f>SUM(J1150:J1155)</f>
        <v>955</v>
      </c>
      <c r="K1149" s="254">
        <f>SUM(K1150:K1155)</f>
        <v>78717</v>
      </c>
      <c r="L1149" s="80"/>
      <c r="M1149" s="82"/>
    </row>
    <row r="1150" spans="1:13" s="79" customFormat="1" ht="13.5" customHeight="1">
      <c r="A1150" s="407"/>
      <c r="C1150" s="151"/>
      <c r="D1150" s="446" t="s">
        <v>289</v>
      </c>
      <c r="E1150" s="446"/>
      <c r="F1150" s="446"/>
      <c r="G1150" s="446"/>
      <c r="H1150" s="446"/>
      <c r="I1150" s="29">
        <f>51969+15271</f>
        <v>67240</v>
      </c>
      <c r="J1150" s="80">
        <f>955</f>
        <v>955</v>
      </c>
      <c r="K1150" s="29">
        <f aca="true" t="shared" si="75" ref="K1150:K1155">SUM(I1150:J1150)</f>
        <v>68195</v>
      </c>
      <c r="L1150" s="80"/>
      <c r="M1150" s="82"/>
    </row>
    <row r="1151" spans="1:12" s="82" customFormat="1" ht="12.75" customHeight="1">
      <c r="A1151" s="407"/>
      <c r="C1151" s="149"/>
      <c r="D1151" s="444" t="s">
        <v>8</v>
      </c>
      <c r="E1151" s="448"/>
      <c r="F1151" s="448"/>
      <c r="G1151" s="448"/>
      <c r="H1151" s="448"/>
      <c r="I1151" s="29">
        <v>8632</v>
      </c>
      <c r="J1151" s="80"/>
      <c r="K1151" s="29">
        <f t="shared" si="75"/>
        <v>8632</v>
      </c>
      <c r="L1151" s="80"/>
    </row>
    <row r="1152" spans="1:13" s="79" customFormat="1" ht="13.5" customHeight="1" hidden="1">
      <c r="A1152" s="407"/>
      <c r="C1152" s="151"/>
      <c r="D1152" s="444" t="s">
        <v>10</v>
      </c>
      <c r="E1152" s="444"/>
      <c r="F1152" s="444"/>
      <c r="G1152" s="444"/>
      <c r="H1152" s="444"/>
      <c r="I1152" s="29"/>
      <c r="J1152" s="78"/>
      <c r="K1152" s="29">
        <f t="shared" si="75"/>
        <v>0</v>
      </c>
      <c r="L1152" s="80"/>
      <c r="M1152" s="82"/>
    </row>
    <row r="1153" spans="1:12" s="82" customFormat="1" ht="13.5" customHeight="1" hidden="1">
      <c r="A1153" s="407"/>
      <c r="C1153" s="149"/>
      <c r="D1153" s="444" t="s">
        <v>9</v>
      </c>
      <c r="E1153" s="444"/>
      <c r="F1153" s="444"/>
      <c r="G1153" s="444"/>
      <c r="H1153" s="444"/>
      <c r="I1153" s="29"/>
      <c r="J1153" s="80"/>
      <c r="K1153" s="29">
        <f t="shared" si="75"/>
        <v>0</v>
      </c>
      <c r="L1153" s="80"/>
    </row>
    <row r="1154" spans="1:12" s="82" customFormat="1" ht="13.5" customHeight="1">
      <c r="A1154" s="407"/>
      <c r="C1154" s="149"/>
      <c r="D1154" s="444" t="s">
        <v>11</v>
      </c>
      <c r="E1154" s="444"/>
      <c r="F1154" s="444"/>
      <c r="G1154" s="444"/>
      <c r="H1154" s="444"/>
      <c r="I1154" s="29">
        <v>1890</v>
      </c>
      <c r="J1154" s="80"/>
      <c r="K1154" s="29">
        <f t="shared" si="75"/>
        <v>1890</v>
      </c>
      <c r="L1154" s="80"/>
    </row>
    <row r="1155" spans="1:12" s="82" customFormat="1" ht="13.5" customHeight="1" hidden="1">
      <c r="A1155" s="407"/>
      <c r="C1155" s="149"/>
      <c r="D1155" s="444" t="s">
        <v>12</v>
      </c>
      <c r="E1155" s="444"/>
      <c r="F1155" s="444"/>
      <c r="G1155" s="444"/>
      <c r="H1155" s="444"/>
      <c r="I1155" s="29"/>
      <c r="J1155" s="80"/>
      <c r="K1155" s="29">
        <f t="shared" si="75"/>
        <v>0</v>
      </c>
      <c r="L1155" s="80"/>
    </row>
    <row r="1156" spans="1:12" s="82" customFormat="1" ht="13.5" customHeight="1">
      <c r="A1156" s="407"/>
      <c r="C1156" s="149"/>
      <c r="D1156" s="445" t="s">
        <v>277</v>
      </c>
      <c r="E1156" s="445"/>
      <c r="F1156" s="445"/>
      <c r="G1156" s="445"/>
      <c r="H1156" s="445"/>
      <c r="I1156" s="77">
        <f>I1145-I1149</f>
        <v>0</v>
      </c>
      <c r="J1156" s="77">
        <f>J1145-J1149</f>
        <v>0</v>
      </c>
      <c r="K1156" s="77">
        <f>K1145-K1149</f>
        <v>0</v>
      </c>
      <c r="L1156" s="80"/>
    </row>
    <row r="1157" spans="1:12" s="82" customFormat="1" ht="12.75" customHeight="1">
      <c r="A1157" s="407"/>
      <c r="C1157" s="149"/>
      <c r="D1157" s="444" t="s">
        <v>279</v>
      </c>
      <c r="E1157" s="444"/>
      <c r="F1157" s="444"/>
      <c r="G1157" s="444"/>
      <c r="H1157" s="444"/>
      <c r="I1157" s="29">
        <f>I1158+I1159+I1160</f>
        <v>0</v>
      </c>
      <c r="J1157" s="29">
        <f>J1158+J1159+J1160</f>
        <v>0</v>
      </c>
      <c r="K1157" s="29">
        <f>K1158+K1159+K1160</f>
        <v>0</v>
      </c>
      <c r="L1157" s="80"/>
    </row>
    <row r="1158" spans="1:12" s="82" customFormat="1" ht="13.5" customHeight="1" hidden="1">
      <c r="A1158" s="407"/>
      <c r="C1158" s="149"/>
      <c r="D1158" s="444" t="s">
        <v>278</v>
      </c>
      <c r="E1158" s="444"/>
      <c r="F1158" s="444"/>
      <c r="G1158" s="444"/>
      <c r="H1158" s="444"/>
      <c r="I1158" s="29"/>
      <c r="J1158" s="77"/>
      <c r="K1158" s="80">
        <f>SUM(I1158:J1158)</f>
        <v>0</v>
      </c>
      <c r="L1158" s="80"/>
    </row>
    <row r="1159" spans="1:12" s="82" customFormat="1" ht="13.5" customHeight="1" hidden="1">
      <c r="A1159" s="407"/>
      <c r="C1159" s="149"/>
      <c r="D1159" s="444" t="s">
        <v>280</v>
      </c>
      <c r="E1159" s="444"/>
      <c r="F1159" s="444"/>
      <c r="G1159" s="444"/>
      <c r="H1159" s="444"/>
      <c r="I1159" s="29"/>
      <c r="J1159" s="77"/>
      <c r="K1159" s="80">
        <f>SUM(I1159:J1159)</f>
        <v>0</v>
      </c>
      <c r="L1159" s="80"/>
    </row>
    <row r="1160" spans="1:12" s="82" customFormat="1" ht="13.5" customHeight="1" hidden="1">
      <c r="A1160" s="407"/>
      <c r="C1160" s="149"/>
      <c r="D1160" s="444" t="s">
        <v>281</v>
      </c>
      <c r="E1160" s="444"/>
      <c r="F1160" s="444"/>
      <c r="G1160" s="444"/>
      <c r="H1160" s="444"/>
      <c r="I1160" s="29"/>
      <c r="J1160" s="77"/>
      <c r="K1160" s="80">
        <f>SUM(I1160:J1160)</f>
        <v>0</v>
      </c>
      <c r="L1160" s="80"/>
    </row>
    <row r="1161" spans="1:12" s="82" customFormat="1" ht="22.5" customHeight="1">
      <c r="A1161" s="407"/>
      <c r="C1161" s="149"/>
      <c r="D1161" s="85"/>
      <c r="E1161" s="85"/>
      <c r="F1161" s="85"/>
      <c r="G1161" s="85"/>
      <c r="H1161" s="85"/>
      <c r="I1161" s="29"/>
      <c r="J1161" s="80"/>
      <c r="K1161" s="80"/>
      <c r="L1161" s="80"/>
    </row>
    <row r="1162" spans="1:12" s="82" customFormat="1" ht="13.5" customHeight="1" hidden="1">
      <c r="A1162" s="407"/>
      <c r="C1162" s="149"/>
      <c r="D1162" s="85"/>
      <c r="E1162" s="85"/>
      <c r="F1162" s="85"/>
      <c r="G1162" s="85"/>
      <c r="H1162" s="85"/>
      <c r="I1162" s="29"/>
      <c r="J1162" s="80"/>
      <c r="K1162" s="80"/>
      <c r="L1162" s="80"/>
    </row>
    <row r="1163" spans="1:13" s="15" customFormat="1" ht="13.5" customHeight="1">
      <c r="A1163" s="407"/>
      <c r="C1163" s="142" t="s">
        <v>62</v>
      </c>
      <c r="D1163" s="450" t="s">
        <v>420</v>
      </c>
      <c r="E1163" s="450"/>
      <c r="F1163" s="450"/>
      <c r="G1163" s="450"/>
      <c r="H1163" s="450"/>
      <c r="I1163" s="17"/>
      <c r="J1163" s="126"/>
      <c r="K1163" s="126"/>
      <c r="L1163" s="127"/>
      <c r="M1163" s="95"/>
    </row>
    <row r="1164" spans="1:13" s="79" customFormat="1" ht="13.5" customHeight="1">
      <c r="A1164" s="407"/>
      <c r="C1164" s="151"/>
      <c r="D1164" s="447" t="s">
        <v>37</v>
      </c>
      <c r="E1164" s="447"/>
      <c r="F1164" s="447"/>
      <c r="G1164" s="447"/>
      <c r="H1164" s="447"/>
      <c r="I1164" s="77">
        <f>SUM(I1165:I1167)</f>
        <v>50000</v>
      </c>
      <c r="J1164" s="77">
        <f>SUM(J1165:J1167)</f>
        <v>5550</v>
      </c>
      <c r="K1164" s="77">
        <f>SUM(K1165:K1167)</f>
        <v>55550</v>
      </c>
      <c r="L1164" s="80"/>
      <c r="M1164" s="82"/>
    </row>
    <row r="1165" spans="1:13" s="79" customFormat="1" ht="12.75" customHeight="1">
      <c r="A1165" s="407"/>
      <c r="C1165" s="151"/>
      <c r="D1165" s="446" t="s">
        <v>5</v>
      </c>
      <c r="E1165" s="446"/>
      <c r="F1165" s="446"/>
      <c r="G1165" s="446"/>
      <c r="H1165" s="446"/>
      <c r="I1165" s="29">
        <v>50000</v>
      </c>
      <c r="J1165" s="29">
        <f>5550</f>
        <v>5550</v>
      </c>
      <c r="K1165" s="29">
        <f>SUM(I1165:J1165)</f>
        <v>55550</v>
      </c>
      <c r="L1165" s="80"/>
      <c r="M1165" s="82"/>
    </row>
    <row r="1166" spans="1:13" s="79" customFormat="1" ht="13.5" customHeight="1" hidden="1">
      <c r="A1166" s="407"/>
      <c r="C1166" s="151"/>
      <c r="D1166" s="446" t="s">
        <v>6</v>
      </c>
      <c r="E1166" s="446"/>
      <c r="F1166" s="446"/>
      <c r="G1166" s="446"/>
      <c r="H1166" s="446"/>
      <c r="I1166" s="29"/>
      <c r="J1166" s="77"/>
      <c r="K1166" s="29">
        <f>SUM(I1166:J1166)</f>
        <v>0</v>
      </c>
      <c r="L1166" s="80"/>
      <c r="M1166" s="82"/>
    </row>
    <row r="1167" spans="1:13" s="79" customFormat="1" ht="13.5" customHeight="1" hidden="1">
      <c r="A1167" s="407"/>
      <c r="C1167" s="151"/>
      <c r="D1167" s="446" t="s">
        <v>7</v>
      </c>
      <c r="E1167" s="446"/>
      <c r="F1167" s="446"/>
      <c r="G1167" s="446"/>
      <c r="H1167" s="446"/>
      <c r="I1167" s="29"/>
      <c r="J1167" s="77"/>
      <c r="K1167" s="29">
        <f>SUM(I1167:J1167)</f>
        <v>0</v>
      </c>
      <c r="L1167" s="80"/>
      <c r="M1167" s="82"/>
    </row>
    <row r="1168" spans="1:13" s="79" customFormat="1" ht="12.75" customHeight="1">
      <c r="A1168" s="407"/>
      <c r="C1168" s="151"/>
      <c r="D1168" s="447" t="s">
        <v>38</v>
      </c>
      <c r="E1168" s="447"/>
      <c r="F1168" s="447"/>
      <c r="G1168" s="447"/>
      <c r="H1168" s="447"/>
      <c r="I1168" s="253">
        <f>SUM(I1169:I1174)</f>
        <v>50000</v>
      </c>
      <c r="J1168" s="253">
        <f>SUM(J1169:J1174)</f>
        <v>5550</v>
      </c>
      <c r="K1168" s="253">
        <f>SUM(K1169:K1174)</f>
        <v>55550</v>
      </c>
      <c r="L1168" s="80"/>
      <c r="M1168" s="82"/>
    </row>
    <row r="1169" spans="1:13" s="79" customFormat="1" ht="13.5" customHeight="1" hidden="1">
      <c r="A1169" s="407"/>
      <c r="C1169" s="151"/>
      <c r="D1169" s="446" t="s">
        <v>289</v>
      </c>
      <c r="E1169" s="446"/>
      <c r="F1169" s="446"/>
      <c r="G1169" s="446"/>
      <c r="H1169" s="446"/>
      <c r="I1169" s="29"/>
      <c r="J1169" s="29"/>
      <c r="K1169" s="29">
        <f aca="true" t="shared" si="76" ref="K1169:K1174">SUM(I1169:J1169)</f>
        <v>0</v>
      </c>
      <c r="L1169" s="80"/>
      <c r="M1169" s="82"/>
    </row>
    <row r="1170" spans="1:13" s="79" customFormat="1" ht="13.5" customHeight="1" hidden="1">
      <c r="A1170" s="407"/>
      <c r="C1170" s="151"/>
      <c r="D1170" s="444" t="s">
        <v>8</v>
      </c>
      <c r="E1170" s="448"/>
      <c r="F1170" s="448"/>
      <c r="G1170" s="448"/>
      <c r="H1170" s="448"/>
      <c r="I1170" s="29"/>
      <c r="J1170" s="77"/>
      <c r="K1170" s="29">
        <f t="shared" si="76"/>
        <v>0</v>
      </c>
      <c r="L1170" s="80"/>
      <c r="M1170" s="82"/>
    </row>
    <row r="1171" spans="1:13" s="79" customFormat="1" ht="12.75" customHeight="1">
      <c r="A1171" s="407"/>
      <c r="C1171" s="151"/>
      <c r="D1171" s="444" t="s">
        <v>10</v>
      </c>
      <c r="E1171" s="444"/>
      <c r="F1171" s="444"/>
      <c r="G1171" s="444"/>
      <c r="H1171" s="444"/>
      <c r="I1171" s="29">
        <v>50000</v>
      </c>
      <c r="J1171" s="29">
        <f>5550</f>
        <v>5550</v>
      </c>
      <c r="K1171" s="29">
        <f t="shared" si="76"/>
        <v>55550</v>
      </c>
      <c r="L1171" s="80"/>
      <c r="M1171" s="82"/>
    </row>
    <row r="1172" spans="1:13" s="79" customFormat="1" ht="13.5" customHeight="1" hidden="1">
      <c r="A1172" s="407"/>
      <c r="C1172" s="151"/>
      <c r="D1172" s="444" t="s">
        <v>9</v>
      </c>
      <c r="E1172" s="444"/>
      <c r="F1172" s="444"/>
      <c r="G1172" s="444"/>
      <c r="H1172" s="444"/>
      <c r="I1172" s="29"/>
      <c r="J1172" s="77"/>
      <c r="K1172" s="29">
        <f t="shared" si="76"/>
        <v>0</v>
      </c>
      <c r="L1172" s="80"/>
      <c r="M1172" s="82"/>
    </row>
    <row r="1173" spans="1:12" s="82" customFormat="1" ht="13.5" customHeight="1" hidden="1">
      <c r="A1173" s="407"/>
      <c r="C1173" s="149"/>
      <c r="D1173" s="444" t="s">
        <v>11</v>
      </c>
      <c r="E1173" s="444"/>
      <c r="F1173" s="444"/>
      <c r="G1173" s="444"/>
      <c r="H1173" s="444"/>
      <c r="I1173" s="29"/>
      <c r="J1173" s="80"/>
      <c r="K1173" s="29">
        <f t="shared" si="76"/>
        <v>0</v>
      </c>
      <c r="L1173" s="80"/>
    </row>
    <row r="1174" spans="1:13" s="79" customFormat="1" ht="13.5" customHeight="1" hidden="1">
      <c r="A1174" s="407"/>
      <c r="C1174" s="151"/>
      <c r="D1174" s="444" t="s">
        <v>12</v>
      </c>
      <c r="E1174" s="444"/>
      <c r="F1174" s="444"/>
      <c r="G1174" s="444"/>
      <c r="H1174" s="444"/>
      <c r="I1174" s="29"/>
      <c r="J1174" s="77"/>
      <c r="K1174" s="29">
        <f t="shared" si="76"/>
        <v>0</v>
      </c>
      <c r="L1174" s="80"/>
      <c r="M1174" s="82"/>
    </row>
    <row r="1175" spans="1:13" s="79" customFormat="1" ht="13.5" customHeight="1">
      <c r="A1175" s="407"/>
      <c r="C1175" s="151"/>
      <c r="D1175" s="445" t="s">
        <v>277</v>
      </c>
      <c r="E1175" s="445"/>
      <c r="F1175" s="445"/>
      <c r="G1175" s="445"/>
      <c r="H1175" s="445"/>
      <c r="I1175" s="77">
        <f>I1164-I1168</f>
        <v>0</v>
      </c>
      <c r="J1175" s="77">
        <f>J1164-J1168</f>
        <v>0</v>
      </c>
      <c r="K1175" s="77">
        <f>K1164-K1168</f>
        <v>0</v>
      </c>
      <c r="L1175" s="80"/>
      <c r="M1175" s="82"/>
    </row>
    <row r="1176" spans="1:13" s="79" customFormat="1" ht="12.75" customHeight="1">
      <c r="A1176" s="407"/>
      <c r="C1176" s="151"/>
      <c r="D1176" s="444" t="s">
        <v>279</v>
      </c>
      <c r="E1176" s="444"/>
      <c r="F1176" s="444"/>
      <c r="G1176" s="444"/>
      <c r="H1176" s="444"/>
      <c r="I1176" s="29">
        <f>I1177+I1178+I1179</f>
        <v>0</v>
      </c>
      <c r="J1176" s="29">
        <f>J1177+J1178+J1179</f>
        <v>0</v>
      </c>
      <c r="K1176" s="29">
        <f>K1177+K1178+K1179</f>
        <v>0</v>
      </c>
      <c r="L1176" s="80"/>
      <c r="M1176" s="82"/>
    </row>
    <row r="1177" spans="1:13" s="79" customFormat="1" ht="0.75" customHeight="1" hidden="1">
      <c r="A1177" s="407"/>
      <c r="C1177" s="151"/>
      <c r="D1177" s="444" t="s">
        <v>278</v>
      </c>
      <c r="E1177" s="444"/>
      <c r="F1177" s="444"/>
      <c r="G1177" s="444"/>
      <c r="H1177" s="444"/>
      <c r="I1177" s="29"/>
      <c r="J1177" s="77"/>
      <c r="K1177" s="80">
        <f>SUM(I1177:J1177)</f>
        <v>0</v>
      </c>
      <c r="L1177" s="80"/>
      <c r="M1177" s="82"/>
    </row>
    <row r="1178" spans="1:13" s="79" customFormat="1" ht="12.75" customHeight="1" hidden="1">
      <c r="A1178" s="407"/>
      <c r="C1178" s="151"/>
      <c r="D1178" s="444" t="s">
        <v>280</v>
      </c>
      <c r="E1178" s="444"/>
      <c r="F1178" s="444"/>
      <c r="G1178" s="444"/>
      <c r="H1178" s="444"/>
      <c r="I1178" s="29"/>
      <c r="J1178" s="77"/>
      <c r="K1178" s="80">
        <f>SUM(I1178:J1178)</f>
        <v>0</v>
      </c>
      <c r="L1178" s="80"/>
      <c r="M1178" s="82"/>
    </row>
    <row r="1179" spans="1:13" s="79" customFormat="1" ht="12.75" customHeight="1" hidden="1">
      <c r="A1179" s="407"/>
      <c r="C1179" s="151"/>
      <c r="D1179" s="444" t="s">
        <v>281</v>
      </c>
      <c r="E1179" s="444"/>
      <c r="F1179" s="444"/>
      <c r="G1179" s="444"/>
      <c r="H1179" s="444"/>
      <c r="I1179" s="29"/>
      <c r="J1179" s="77"/>
      <c r="K1179" s="80">
        <f>SUM(I1179:J1179)</f>
        <v>0</v>
      </c>
      <c r="L1179" s="80"/>
      <c r="M1179" s="82"/>
    </row>
    <row r="1180" spans="1:13" s="79" customFormat="1" ht="12.75" customHeight="1">
      <c r="A1180" s="407"/>
      <c r="C1180" s="151"/>
      <c r="D1180" s="85"/>
      <c r="E1180" s="85"/>
      <c r="F1180" s="85"/>
      <c r="G1180" s="85"/>
      <c r="H1180" s="85"/>
      <c r="I1180" s="29"/>
      <c r="J1180" s="77"/>
      <c r="K1180" s="29"/>
      <c r="L1180" s="80"/>
      <c r="M1180" s="82"/>
    </row>
    <row r="1181" spans="1:13" s="79" customFormat="1" ht="7.5" customHeight="1">
      <c r="A1181" s="407"/>
      <c r="C1181" s="151"/>
      <c r="D1181" s="85"/>
      <c r="E1181" s="85"/>
      <c r="F1181" s="85"/>
      <c r="G1181" s="85"/>
      <c r="H1181" s="85"/>
      <c r="I1181" s="29"/>
      <c r="J1181" s="77"/>
      <c r="K1181" s="77"/>
      <c r="L1181" s="80"/>
      <c r="M1181" s="82"/>
    </row>
    <row r="1182" spans="1:13" s="15" customFormat="1" ht="12.75" customHeight="1">
      <c r="A1182" s="407"/>
      <c r="C1182" s="142" t="s">
        <v>62</v>
      </c>
      <c r="D1182" s="450" t="s">
        <v>544</v>
      </c>
      <c r="E1182" s="450"/>
      <c r="F1182" s="450"/>
      <c r="G1182" s="450"/>
      <c r="H1182" s="450"/>
      <c r="I1182" s="17"/>
      <c r="J1182" s="126"/>
      <c r="K1182" s="126"/>
      <c r="L1182" s="127"/>
      <c r="M1182" s="95"/>
    </row>
    <row r="1183" spans="1:13" s="15" customFormat="1" ht="12.75" customHeight="1">
      <c r="A1183" s="407"/>
      <c r="C1183" s="154"/>
      <c r="D1183" s="447" t="s">
        <v>37</v>
      </c>
      <c r="E1183" s="447"/>
      <c r="F1183" s="447"/>
      <c r="G1183" s="447"/>
      <c r="H1183" s="447"/>
      <c r="I1183" s="77">
        <f>SUM(I1184:I1186)</f>
        <v>8052</v>
      </c>
      <c r="J1183" s="77">
        <f>SUM(J1184:J1186)</f>
        <v>3613</v>
      </c>
      <c r="K1183" s="77">
        <f>SUM(K1184:K1186)</f>
        <v>11665</v>
      </c>
      <c r="L1183" s="127"/>
      <c r="M1183" s="95"/>
    </row>
    <row r="1184" spans="1:13" s="15" customFormat="1" ht="12" customHeight="1">
      <c r="A1184" s="407"/>
      <c r="C1184" s="154"/>
      <c r="D1184" s="446" t="s">
        <v>5</v>
      </c>
      <c r="E1184" s="446"/>
      <c r="F1184" s="446"/>
      <c r="G1184" s="446"/>
      <c r="H1184" s="446"/>
      <c r="I1184" s="29">
        <f>8052</f>
        <v>8052</v>
      </c>
      <c r="J1184" s="80">
        <f>3613</f>
        <v>3613</v>
      </c>
      <c r="K1184" s="80">
        <f>SUM(I1184:J1184)</f>
        <v>11665</v>
      </c>
      <c r="L1184" s="127"/>
      <c r="M1184" s="95"/>
    </row>
    <row r="1185" spans="1:13" s="15" customFormat="1" ht="0.75" customHeight="1" hidden="1">
      <c r="A1185" s="407"/>
      <c r="C1185" s="154"/>
      <c r="D1185" s="446" t="s">
        <v>6</v>
      </c>
      <c r="E1185" s="446"/>
      <c r="F1185" s="446"/>
      <c r="G1185" s="446"/>
      <c r="H1185" s="446"/>
      <c r="I1185" s="29"/>
      <c r="J1185" s="80"/>
      <c r="K1185" s="80">
        <f>SUM(I1185:J1185)</f>
        <v>0</v>
      </c>
      <c r="L1185" s="127"/>
      <c r="M1185" s="95"/>
    </row>
    <row r="1186" spans="1:13" s="15" customFormat="1" ht="12.75" customHeight="1" hidden="1">
      <c r="A1186" s="407"/>
      <c r="C1186" s="154"/>
      <c r="D1186" s="446" t="s">
        <v>7</v>
      </c>
      <c r="E1186" s="446"/>
      <c r="F1186" s="446"/>
      <c r="G1186" s="446"/>
      <c r="H1186" s="446"/>
      <c r="I1186" s="29"/>
      <c r="J1186" s="80"/>
      <c r="K1186" s="80">
        <f>SUM(I1186:J1186)</f>
        <v>0</v>
      </c>
      <c r="L1186" s="127"/>
      <c r="M1186" s="95"/>
    </row>
    <row r="1187" spans="1:13" s="15" customFormat="1" ht="13.5" customHeight="1">
      <c r="A1187" s="407"/>
      <c r="C1187" s="154"/>
      <c r="D1187" s="447" t="s">
        <v>38</v>
      </c>
      <c r="E1187" s="447"/>
      <c r="F1187" s="447"/>
      <c r="G1187" s="447"/>
      <c r="H1187" s="447"/>
      <c r="I1187" s="253">
        <f>SUM(I1188:I1193)</f>
        <v>8052</v>
      </c>
      <c r="J1187" s="253">
        <f>SUM(J1188:J1193)</f>
        <v>3613</v>
      </c>
      <c r="K1187" s="253">
        <f>SUM(K1188:K1193)</f>
        <v>11665</v>
      </c>
      <c r="L1187" s="127"/>
      <c r="M1187" s="95"/>
    </row>
    <row r="1188" spans="1:13" s="15" customFormat="1" ht="0.75" customHeight="1" hidden="1">
      <c r="A1188" s="407"/>
      <c r="C1188" s="154"/>
      <c r="D1188" s="446" t="s">
        <v>289</v>
      </c>
      <c r="E1188" s="446"/>
      <c r="F1188" s="446"/>
      <c r="G1188" s="446"/>
      <c r="H1188" s="446"/>
      <c r="I1188" s="29"/>
      <c r="J1188" s="80"/>
      <c r="K1188" s="80">
        <f aca="true" t="shared" si="77" ref="K1188:K1193">SUM(I1188:J1188)</f>
        <v>0</v>
      </c>
      <c r="L1188" s="127"/>
      <c r="M1188" s="95"/>
    </row>
    <row r="1189" spans="1:13" s="15" customFormat="1" ht="12.75" customHeight="1" hidden="1">
      <c r="A1189" s="407"/>
      <c r="C1189" s="154"/>
      <c r="D1189" s="444" t="s">
        <v>8</v>
      </c>
      <c r="E1189" s="448"/>
      <c r="F1189" s="448"/>
      <c r="G1189" s="448"/>
      <c r="H1189" s="448"/>
      <c r="I1189" s="29"/>
      <c r="J1189" s="80"/>
      <c r="K1189" s="80">
        <f t="shared" si="77"/>
        <v>0</v>
      </c>
      <c r="L1189" s="127"/>
      <c r="M1189" s="95"/>
    </row>
    <row r="1190" spans="1:13" s="15" customFormat="1" ht="12.75" customHeight="1" hidden="1">
      <c r="A1190" s="407"/>
      <c r="C1190" s="154"/>
      <c r="D1190" s="444" t="s">
        <v>10</v>
      </c>
      <c r="E1190" s="444"/>
      <c r="F1190" s="444"/>
      <c r="G1190" s="444"/>
      <c r="H1190" s="444"/>
      <c r="I1190" s="29"/>
      <c r="J1190" s="80"/>
      <c r="K1190" s="80">
        <f t="shared" si="77"/>
        <v>0</v>
      </c>
      <c r="L1190" s="127"/>
      <c r="M1190" s="95"/>
    </row>
    <row r="1191" spans="1:13" s="15" customFormat="1" ht="12.75" customHeight="1" hidden="1">
      <c r="A1191" s="407"/>
      <c r="C1191" s="154"/>
      <c r="D1191" s="444" t="s">
        <v>9</v>
      </c>
      <c r="E1191" s="444"/>
      <c r="F1191" s="444"/>
      <c r="G1191" s="444"/>
      <c r="H1191" s="444"/>
      <c r="I1191" s="29"/>
      <c r="J1191" s="80"/>
      <c r="K1191" s="80">
        <f t="shared" si="77"/>
        <v>0</v>
      </c>
      <c r="L1191" s="127"/>
      <c r="M1191" s="95"/>
    </row>
    <row r="1192" spans="1:13" s="15" customFormat="1" ht="12.75" customHeight="1">
      <c r="A1192" s="407"/>
      <c r="C1192" s="154"/>
      <c r="D1192" s="444" t="s">
        <v>11</v>
      </c>
      <c r="E1192" s="444"/>
      <c r="F1192" s="444"/>
      <c r="G1192" s="444"/>
      <c r="H1192" s="444"/>
      <c r="I1192" s="29">
        <f>8052</f>
        <v>8052</v>
      </c>
      <c r="J1192" s="80">
        <f>3613</f>
        <v>3613</v>
      </c>
      <c r="K1192" s="80">
        <f t="shared" si="77"/>
        <v>11665</v>
      </c>
      <c r="L1192" s="127"/>
      <c r="M1192" s="95"/>
    </row>
    <row r="1193" spans="1:13" s="15" customFormat="1" ht="12.75" customHeight="1" hidden="1">
      <c r="A1193" s="407"/>
      <c r="C1193" s="154"/>
      <c r="D1193" s="444" t="s">
        <v>12</v>
      </c>
      <c r="E1193" s="444"/>
      <c r="F1193" s="444"/>
      <c r="G1193" s="444"/>
      <c r="H1193" s="444"/>
      <c r="I1193" s="29"/>
      <c r="J1193" s="78"/>
      <c r="K1193" s="80">
        <f t="shared" si="77"/>
        <v>0</v>
      </c>
      <c r="L1193" s="127"/>
      <c r="M1193" s="95"/>
    </row>
    <row r="1194" spans="1:13" s="15" customFormat="1" ht="12.75" customHeight="1">
      <c r="A1194" s="407"/>
      <c r="C1194" s="154"/>
      <c r="D1194" s="445" t="s">
        <v>277</v>
      </c>
      <c r="E1194" s="445"/>
      <c r="F1194" s="445"/>
      <c r="G1194" s="445"/>
      <c r="H1194" s="445"/>
      <c r="I1194" s="77">
        <f>I1183-I1187</f>
        <v>0</v>
      </c>
      <c r="J1194" s="77">
        <f>J1183-J1187</f>
        <v>0</v>
      </c>
      <c r="K1194" s="77">
        <f>K1183-K1187</f>
        <v>0</v>
      </c>
      <c r="L1194" s="127"/>
      <c r="M1194" s="95"/>
    </row>
    <row r="1195" spans="1:13" s="15" customFormat="1" ht="12.75" customHeight="1">
      <c r="A1195" s="407"/>
      <c r="C1195" s="154"/>
      <c r="D1195" s="444" t="s">
        <v>279</v>
      </c>
      <c r="E1195" s="444"/>
      <c r="F1195" s="444"/>
      <c r="G1195" s="444"/>
      <c r="H1195" s="444"/>
      <c r="I1195" s="29">
        <f>I1196+I1197+I1198</f>
        <v>0</v>
      </c>
      <c r="J1195" s="29">
        <f>J1196+J1197+J1198</f>
        <v>0</v>
      </c>
      <c r="K1195" s="29">
        <f>K1196+K1197+K1198</f>
        <v>0</v>
      </c>
      <c r="L1195" s="127"/>
      <c r="M1195" s="95"/>
    </row>
    <row r="1196" spans="1:13" s="15" customFormat="1" ht="12.75" customHeight="1" hidden="1">
      <c r="A1196" s="407"/>
      <c r="C1196" s="154"/>
      <c r="D1196" s="444" t="s">
        <v>278</v>
      </c>
      <c r="E1196" s="444"/>
      <c r="F1196" s="444"/>
      <c r="G1196" s="444"/>
      <c r="H1196" s="444"/>
      <c r="I1196" s="29"/>
      <c r="J1196" s="77"/>
      <c r="K1196" s="80">
        <f>SUM(I1196:J1196)</f>
        <v>0</v>
      </c>
      <c r="L1196" s="127"/>
      <c r="M1196" s="95"/>
    </row>
    <row r="1197" spans="1:13" s="15" customFormat="1" ht="12.75" customHeight="1" hidden="1">
      <c r="A1197" s="407"/>
      <c r="C1197" s="154"/>
      <c r="D1197" s="444" t="s">
        <v>280</v>
      </c>
      <c r="E1197" s="444"/>
      <c r="F1197" s="444"/>
      <c r="G1197" s="444"/>
      <c r="H1197" s="444"/>
      <c r="I1197" s="29"/>
      <c r="J1197" s="77"/>
      <c r="K1197" s="80">
        <f>SUM(I1197:J1197)</f>
        <v>0</v>
      </c>
      <c r="L1197" s="127"/>
      <c r="M1197" s="95"/>
    </row>
    <row r="1198" spans="1:13" s="15" customFormat="1" ht="12.75" customHeight="1" hidden="1">
      <c r="A1198" s="407"/>
      <c r="C1198" s="154"/>
      <c r="D1198" s="444" t="s">
        <v>281</v>
      </c>
      <c r="E1198" s="444"/>
      <c r="F1198" s="444"/>
      <c r="G1198" s="444"/>
      <c r="H1198" s="444"/>
      <c r="I1198" s="29"/>
      <c r="J1198" s="77"/>
      <c r="K1198" s="80">
        <f>SUM(I1198:J1198)</f>
        <v>0</v>
      </c>
      <c r="L1198" s="127"/>
      <c r="M1198" s="95"/>
    </row>
    <row r="1199" spans="1:13" s="15" customFormat="1" ht="17.25" customHeight="1">
      <c r="A1199" s="407"/>
      <c r="C1199" s="154"/>
      <c r="D1199" s="85"/>
      <c r="E1199" s="85"/>
      <c r="F1199" s="85"/>
      <c r="G1199" s="85"/>
      <c r="H1199" s="85"/>
      <c r="I1199" s="29"/>
      <c r="J1199" s="78"/>
      <c r="K1199" s="80"/>
      <c r="L1199" s="127"/>
      <c r="M1199" s="95"/>
    </row>
    <row r="1200" spans="1:13" s="15" customFormat="1" ht="12.75" customHeight="1" hidden="1">
      <c r="A1200" s="407"/>
      <c r="C1200" s="154"/>
      <c r="D1200" s="85"/>
      <c r="E1200" s="85"/>
      <c r="F1200" s="85"/>
      <c r="G1200" s="85"/>
      <c r="H1200" s="85"/>
      <c r="I1200" s="29"/>
      <c r="J1200" s="78"/>
      <c r="K1200" s="78"/>
      <c r="L1200" s="127"/>
      <c r="M1200" s="95"/>
    </row>
    <row r="1201" spans="1:12" s="95" customFormat="1" ht="12.75" customHeight="1">
      <c r="A1201" s="407"/>
      <c r="C1201" s="142" t="s">
        <v>66</v>
      </c>
      <c r="D1201" s="450" t="s">
        <v>67</v>
      </c>
      <c r="E1201" s="450"/>
      <c r="F1201" s="450"/>
      <c r="G1201" s="450"/>
      <c r="H1201" s="450"/>
      <c r="I1201" s="129"/>
      <c r="J1201" s="127"/>
      <c r="K1201" s="127"/>
      <c r="L1201" s="127"/>
    </row>
    <row r="1202" spans="1:13" s="79" customFormat="1" ht="13.5" customHeight="1">
      <c r="A1202" s="407"/>
      <c r="C1202" s="151"/>
      <c r="D1202" s="447" t="s">
        <v>37</v>
      </c>
      <c r="E1202" s="447"/>
      <c r="F1202" s="447"/>
      <c r="G1202" s="447"/>
      <c r="H1202" s="447"/>
      <c r="I1202" s="77">
        <f>SUM(I1203:I1205)</f>
        <v>352266</v>
      </c>
      <c r="J1202" s="77">
        <f>SUM(J1203:J1205)</f>
        <v>20763</v>
      </c>
      <c r="K1202" s="77">
        <f>SUM(K1203:K1205)</f>
        <v>373029</v>
      </c>
      <c r="L1202" s="80"/>
      <c r="M1202" s="82"/>
    </row>
    <row r="1203" spans="1:13" s="79" customFormat="1" ht="12.75" customHeight="1">
      <c r="A1203" s="407"/>
      <c r="C1203" s="151"/>
      <c r="D1203" s="446" t="s">
        <v>5</v>
      </c>
      <c r="E1203" s="446"/>
      <c r="F1203" s="446"/>
      <c r="G1203" s="446"/>
      <c r="H1203" s="446"/>
      <c r="I1203" s="29">
        <f aca="true" t="shared" si="78" ref="I1203:K1205">I1222+I1240</f>
        <v>330000</v>
      </c>
      <c r="J1203" s="29">
        <f t="shared" si="78"/>
        <v>20763</v>
      </c>
      <c r="K1203" s="29">
        <f t="shared" si="78"/>
        <v>350763</v>
      </c>
      <c r="L1203" s="80"/>
      <c r="M1203" s="82"/>
    </row>
    <row r="1204" spans="1:13" s="79" customFormat="1" ht="12.75" customHeight="1">
      <c r="A1204" s="407"/>
      <c r="C1204" s="151"/>
      <c r="D1204" s="446" t="s">
        <v>6</v>
      </c>
      <c r="E1204" s="446"/>
      <c r="F1204" s="446"/>
      <c r="G1204" s="446"/>
      <c r="H1204" s="446"/>
      <c r="I1204" s="29">
        <f t="shared" si="78"/>
        <v>19774</v>
      </c>
      <c r="J1204" s="29">
        <f t="shared" si="78"/>
        <v>0</v>
      </c>
      <c r="K1204" s="29">
        <f t="shared" si="78"/>
        <v>19774</v>
      </c>
      <c r="L1204" s="80"/>
      <c r="M1204" s="82"/>
    </row>
    <row r="1205" spans="1:13" s="79" customFormat="1" ht="12.75" customHeight="1">
      <c r="A1205" s="407"/>
      <c r="C1205" s="151"/>
      <c r="D1205" s="446" t="s">
        <v>7</v>
      </c>
      <c r="E1205" s="446"/>
      <c r="F1205" s="446"/>
      <c r="G1205" s="446"/>
      <c r="H1205" s="446"/>
      <c r="I1205" s="29">
        <f t="shared" si="78"/>
        <v>2492</v>
      </c>
      <c r="J1205" s="29">
        <f t="shared" si="78"/>
        <v>0</v>
      </c>
      <c r="K1205" s="29">
        <f t="shared" si="78"/>
        <v>2492</v>
      </c>
      <c r="L1205" s="80"/>
      <c r="M1205" s="82"/>
    </row>
    <row r="1206" spans="1:13" s="79" customFormat="1" ht="12.75" customHeight="1">
      <c r="A1206" s="407"/>
      <c r="C1206" s="151"/>
      <c r="D1206" s="447" t="s">
        <v>38</v>
      </c>
      <c r="E1206" s="447"/>
      <c r="F1206" s="447"/>
      <c r="G1206" s="447"/>
      <c r="H1206" s="447"/>
      <c r="I1206" s="253">
        <f>SUM(I1207:I1212)</f>
        <v>353623</v>
      </c>
      <c r="J1206" s="253">
        <f>SUM(J1207:J1212)</f>
        <v>20763</v>
      </c>
      <c r="K1206" s="253">
        <f>SUM(K1207:K1212)</f>
        <v>374386</v>
      </c>
      <c r="L1206" s="80"/>
      <c r="M1206" s="82"/>
    </row>
    <row r="1207" spans="1:13" s="79" customFormat="1" ht="13.5" customHeight="1">
      <c r="A1207" s="407"/>
      <c r="C1207" s="151"/>
      <c r="D1207" s="446" t="s">
        <v>289</v>
      </c>
      <c r="E1207" s="446"/>
      <c r="F1207" s="446"/>
      <c r="G1207" s="446"/>
      <c r="H1207" s="446"/>
      <c r="I1207" s="29">
        <f aca="true" t="shared" si="79" ref="I1207:K1212">I1226+I1244</f>
        <v>236337</v>
      </c>
      <c r="J1207" s="29">
        <f t="shared" si="79"/>
        <v>11130</v>
      </c>
      <c r="K1207" s="29">
        <f t="shared" si="79"/>
        <v>247467</v>
      </c>
      <c r="L1207" s="80"/>
      <c r="M1207" s="82"/>
    </row>
    <row r="1208" spans="1:12" s="82" customFormat="1" ht="13.5" customHeight="1">
      <c r="A1208" s="407"/>
      <c r="C1208" s="149"/>
      <c r="D1208" s="444" t="s">
        <v>8</v>
      </c>
      <c r="E1208" s="448"/>
      <c r="F1208" s="448"/>
      <c r="G1208" s="448"/>
      <c r="H1208" s="448"/>
      <c r="I1208" s="29">
        <f t="shared" si="79"/>
        <v>93429</v>
      </c>
      <c r="J1208" s="29">
        <f t="shared" si="79"/>
        <v>9633</v>
      </c>
      <c r="K1208" s="29">
        <f t="shared" si="79"/>
        <v>103062</v>
      </c>
      <c r="L1208" s="80"/>
    </row>
    <row r="1209" spans="1:13" s="79" customFormat="1" ht="13.5" customHeight="1" hidden="1">
      <c r="A1209" s="407"/>
      <c r="C1209" s="151"/>
      <c r="D1209" s="444" t="s">
        <v>10</v>
      </c>
      <c r="E1209" s="444"/>
      <c r="F1209" s="444"/>
      <c r="G1209" s="444"/>
      <c r="H1209" s="444"/>
      <c r="I1209" s="29">
        <f t="shared" si="79"/>
        <v>0</v>
      </c>
      <c r="J1209" s="29">
        <f t="shared" si="79"/>
        <v>0</v>
      </c>
      <c r="K1209" s="29">
        <f t="shared" si="79"/>
        <v>0</v>
      </c>
      <c r="L1209" s="80"/>
      <c r="M1209" s="82"/>
    </row>
    <row r="1210" spans="1:12" s="82" customFormat="1" ht="13.5" customHeight="1">
      <c r="A1210" s="407"/>
      <c r="C1210" s="149"/>
      <c r="D1210" s="444" t="s">
        <v>9</v>
      </c>
      <c r="E1210" s="444"/>
      <c r="F1210" s="444"/>
      <c r="G1210" s="444"/>
      <c r="H1210" s="444"/>
      <c r="I1210" s="29">
        <f t="shared" si="79"/>
        <v>580</v>
      </c>
      <c r="J1210" s="29">
        <f t="shared" si="79"/>
        <v>0</v>
      </c>
      <c r="K1210" s="29">
        <f t="shared" si="79"/>
        <v>580</v>
      </c>
      <c r="L1210" s="80"/>
    </row>
    <row r="1211" spans="1:12" s="82" customFormat="1" ht="13.5" customHeight="1">
      <c r="A1211" s="407"/>
      <c r="C1211" s="149"/>
      <c r="D1211" s="444" t="s">
        <v>11</v>
      </c>
      <c r="E1211" s="444"/>
      <c r="F1211" s="444"/>
      <c r="G1211" s="444"/>
      <c r="H1211" s="444"/>
      <c r="I1211" s="29">
        <f t="shared" si="79"/>
        <v>23277</v>
      </c>
      <c r="J1211" s="29">
        <f t="shared" si="79"/>
        <v>0</v>
      </c>
      <c r="K1211" s="29">
        <f t="shared" si="79"/>
        <v>23277</v>
      </c>
      <c r="L1211" s="80"/>
    </row>
    <row r="1212" spans="1:12" s="82" customFormat="1" ht="13.5" customHeight="1" hidden="1">
      <c r="A1212" s="407"/>
      <c r="C1212" s="149"/>
      <c r="D1212" s="444" t="s">
        <v>12</v>
      </c>
      <c r="E1212" s="444"/>
      <c r="F1212" s="444"/>
      <c r="G1212" s="444"/>
      <c r="H1212" s="444"/>
      <c r="I1212" s="29">
        <f t="shared" si="79"/>
        <v>0</v>
      </c>
      <c r="J1212" s="29">
        <f t="shared" si="79"/>
        <v>0</v>
      </c>
      <c r="K1212" s="29">
        <f t="shared" si="79"/>
        <v>0</v>
      </c>
      <c r="L1212" s="80"/>
    </row>
    <row r="1213" spans="1:12" s="82" customFormat="1" ht="13.5" customHeight="1">
      <c r="A1213" s="407"/>
      <c r="C1213" s="149"/>
      <c r="D1213" s="445" t="s">
        <v>277</v>
      </c>
      <c r="E1213" s="445"/>
      <c r="F1213" s="445"/>
      <c r="G1213" s="445"/>
      <c r="H1213" s="445"/>
      <c r="I1213" s="77">
        <f>I1202-I1206</f>
        <v>-1357</v>
      </c>
      <c r="J1213" s="77">
        <f>J1202-J1206</f>
        <v>0</v>
      </c>
      <c r="K1213" s="77">
        <f>K1202-K1206</f>
        <v>-1357</v>
      </c>
      <c r="L1213" s="80"/>
    </row>
    <row r="1214" spans="1:12" s="82" customFormat="1" ht="13.5" customHeight="1">
      <c r="A1214" s="407"/>
      <c r="C1214" s="149"/>
      <c r="D1214" s="444" t="s">
        <v>279</v>
      </c>
      <c r="E1214" s="444"/>
      <c r="F1214" s="444"/>
      <c r="G1214" s="444"/>
      <c r="H1214" s="444"/>
      <c r="I1214" s="29">
        <f>I1215+I1216+I1217</f>
        <v>1357</v>
      </c>
      <c r="J1214" s="29">
        <f>J1215+J1216+J1217</f>
        <v>0</v>
      </c>
      <c r="K1214" s="29">
        <f>K1215+K1216+K1217</f>
        <v>1357</v>
      </c>
      <c r="L1214" s="80"/>
    </row>
    <row r="1215" spans="1:12" s="82" customFormat="1" ht="12.75" customHeight="1">
      <c r="A1215" s="407"/>
      <c r="C1215" s="149"/>
      <c r="D1215" s="444" t="s">
        <v>278</v>
      </c>
      <c r="E1215" s="444"/>
      <c r="F1215" s="444"/>
      <c r="G1215" s="444"/>
      <c r="H1215" s="444"/>
      <c r="I1215" s="29">
        <f aca="true" t="shared" si="80" ref="I1215:K1217">I1234+I1252</f>
        <v>4255</v>
      </c>
      <c r="J1215" s="29">
        <f t="shared" si="80"/>
        <v>0</v>
      </c>
      <c r="K1215" s="29">
        <f t="shared" si="80"/>
        <v>4255</v>
      </c>
      <c r="L1215" s="80"/>
    </row>
    <row r="1216" spans="1:12" s="82" customFormat="1" ht="13.5" customHeight="1" hidden="1">
      <c r="A1216" s="407"/>
      <c r="C1216" s="149"/>
      <c r="D1216" s="444" t="s">
        <v>280</v>
      </c>
      <c r="E1216" s="444"/>
      <c r="F1216" s="444"/>
      <c r="G1216" s="444"/>
      <c r="H1216" s="444"/>
      <c r="I1216" s="29">
        <f t="shared" si="80"/>
        <v>0</v>
      </c>
      <c r="J1216" s="29">
        <f t="shared" si="80"/>
        <v>0</v>
      </c>
      <c r="K1216" s="29">
        <f t="shared" si="80"/>
        <v>0</v>
      </c>
      <c r="L1216" s="80"/>
    </row>
    <row r="1217" spans="1:12" s="82" customFormat="1" ht="13.5" customHeight="1">
      <c r="A1217" s="407"/>
      <c r="C1217" s="149"/>
      <c r="D1217" s="444" t="s">
        <v>281</v>
      </c>
      <c r="E1217" s="444"/>
      <c r="F1217" s="444"/>
      <c r="G1217" s="444"/>
      <c r="H1217" s="444"/>
      <c r="I1217" s="29">
        <f t="shared" si="80"/>
        <v>-2898</v>
      </c>
      <c r="J1217" s="29">
        <f t="shared" si="80"/>
        <v>0</v>
      </c>
      <c r="K1217" s="29">
        <f t="shared" si="80"/>
        <v>-2898</v>
      </c>
      <c r="L1217" s="80"/>
    </row>
    <row r="1218" spans="1:12" s="82" customFormat="1" ht="11.25" customHeight="1">
      <c r="A1218" s="407"/>
      <c r="C1218" s="149"/>
      <c r="D1218" s="85"/>
      <c r="E1218" s="85"/>
      <c r="F1218" s="85"/>
      <c r="G1218" s="85"/>
      <c r="H1218" s="85"/>
      <c r="I1218" s="29"/>
      <c r="J1218" s="29"/>
      <c r="K1218" s="29"/>
      <c r="L1218" s="80"/>
    </row>
    <row r="1219" spans="1:12" s="82" customFormat="1" ht="13.5" customHeight="1" hidden="1">
      <c r="A1219" s="407"/>
      <c r="C1219" s="149"/>
      <c r="D1219" s="85"/>
      <c r="E1219" s="85"/>
      <c r="F1219" s="85"/>
      <c r="G1219" s="85"/>
      <c r="H1219" s="85"/>
      <c r="I1219" s="29"/>
      <c r="J1219" s="29"/>
      <c r="K1219" s="29"/>
      <c r="L1219" s="80"/>
    </row>
    <row r="1220" spans="1:12" s="95" customFormat="1" ht="13.5" customHeight="1">
      <c r="A1220" s="407"/>
      <c r="C1220" s="160" t="s">
        <v>66</v>
      </c>
      <c r="D1220" s="449" t="s">
        <v>67</v>
      </c>
      <c r="E1220" s="449"/>
      <c r="F1220" s="449"/>
      <c r="G1220" s="449"/>
      <c r="H1220" s="449"/>
      <c r="I1220" s="129"/>
      <c r="J1220" s="127"/>
      <c r="K1220" s="129"/>
      <c r="L1220" s="127"/>
    </row>
    <row r="1221" spans="1:12" s="82" customFormat="1" ht="13.5" customHeight="1">
      <c r="A1221" s="407"/>
      <c r="C1221" s="149"/>
      <c r="D1221" s="447" t="s">
        <v>37</v>
      </c>
      <c r="E1221" s="447"/>
      <c r="F1221" s="447"/>
      <c r="G1221" s="447"/>
      <c r="H1221" s="447"/>
      <c r="I1221" s="77">
        <f>SUM(I1222:I1224)</f>
        <v>351626</v>
      </c>
      <c r="J1221" s="77">
        <f>SUM(J1222:J1224)</f>
        <v>20763</v>
      </c>
      <c r="K1221" s="77">
        <f>SUM(K1222:K1224)</f>
        <v>372389</v>
      </c>
      <c r="L1221" s="80"/>
    </row>
    <row r="1222" spans="1:12" s="82" customFormat="1" ht="12.75" customHeight="1">
      <c r="A1222" s="407"/>
      <c r="C1222" s="149"/>
      <c r="D1222" s="446" t="s">
        <v>5</v>
      </c>
      <c r="E1222" s="446"/>
      <c r="F1222" s="446"/>
      <c r="G1222" s="446"/>
      <c r="H1222" s="446"/>
      <c r="I1222" s="29">
        <v>330000</v>
      </c>
      <c r="J1222" s="80">
        <f>7500+3630+9633</f>
        <v>20763</v>
      </c>
      <c r="K1222" s="29">
        <f>SUM(I1222:J1222)</f>
        <v>350763</v>
      </c>
      <c r="L1222" s="80"/>
    </row>
    <row r="1223" spans="1:12" s="82" customFormat="1" ht="12.75" customHeight="1">
      <c r="A1223" s="407"/>
      <c r="C1223" s="149"/>
      <c r="D1223" s="446" t="s">
        <v>6</v>
      </c>
      <c r="E1223" s="446"/>
      <c r="F1223" s="446"/>
      <c r="G1223" s="446"/>
      <c r="H1223" s="446"/>
      <c r="I1223" s="29">
        <v>19134</v>
      </c>
      <c r="J1223" s="29"/>
      <c r="K1223" s="29">
        <f>SUM(I1223:J1223)</f>
        <v>19134</v>
      </c>
      <c r="L1223" s="80"/>
    </row>
    <row r="1224" spans="1:12" s="82" customFormat="1" ht="12.75" customHeight="1">
      <c r="A1224" s="407"/>
      <c r="C1224" s="149"/>
      <c r="D1224" s="446" t="s">
        <v>7</v>
      </c>
      <c r="E1224" s="446"/>
      <c r="F1224" s="446"/>
      <c r="G1224" s="446"/>
      <c r="H1224" s="446"/>
      <c r="I1224" s="29">
        <f>2492</f>
        <v>2492</v>
      </c>
      <c r="J1224" s="80"/>
      <c r="K1224" s="29">
        <f>SUM(I1224:J1224)</f>
        <v>2492</v>
      </c>
      <c r="L1224" s="80"/>
    </row>
    <row r="1225" spans="1:12" s="82" customFormat="1" ht="12.75" customHeight="1">
      <c r="A1225" s="407"/>
      <c r="C1225" s="149"/>
      <c r="D1225" s="447" t="s">
        <v>38</v>
      </c>
      <c r="E1225" s="447"/>
      <c r="F1225" s="447"/>
      <c r="G1225" s="447"/>
      <c r="H1225" s="447"/>
      <c r="I1225" s="254">
        <f>SUM(I1226:I1231)</f>
        <v>351381</v>
      </c>
      <c r="J1225" s="254">
        <f>SUM(J1226:J1231)</f>
        <v>20763</v>
      </c>
      <c r="K1225" s="254">
        <f>SUM(K1226:K1231)</f>
        <v>372144</v>
      </c>
      <c r="L1225" s="80"/>
    </row>
    <row r="1226" spans="1:12" s="82" customFormat="1" ht="13.5" customHeight="1">
      <c r="A1226" s="407"/>
      <c r="C1226" s="149"/>
      <c r="D1226" s="446" t="s">
        <v>289</v>
      </c>
      <c r="E1226" s="446"/>
      <c r="F1226" s="446"/>
      <c r="G1226" s="446"/>
      <c r="H1226" s="446"/>
      <c r="I1226" s="29">
        <f>228651+7025-1165</f>
        <v>234511</v>
      </c>
      <c r="J1226" s="80">
        <f>7500+3630</f>
        <v>11130</v>
      </c>
      <c r="K1226" s="29">
        <f aca="true" t="shared" si="81" ref="K1226:K1231">SUM(I1226:J1226)</f>
        <v>245641</v>
      </c>
      <c r="L1226" s="80"/>
    </row>
    <row r="1227" spans="1:12" s="82" customFormat="1" ht="12.75" customHeight="1">
      <c r="A1227" s="407"/>
      <c r="C1227" s="149"/>
      <c r="D1227" s="444" t="s">
        <v>8</v>
      </c>
      <c r="E1227" s="448"/>
      <c r="F1227" s="448"/>
      <c r="G1227" s="448"/>
      <c r="H1227" s="448"/>
      <c r="I1227" s="29">
        <f>80037+10484+2492</f>
        <v>93013</v>
      </c>
      <c r="J1227" s="80">
        <f>9633</f>
        <v>9633</v>
      </c>
      <c r="K1227" s="29">
        <f t="shared" si="81"/>
        <v>102646</v>
      </c>
      <c r="L1227" s="80"/>
    </row>
    <row r="1228" spans="1:12" s="82" customFormat="1" ht="0.75" customHeight="1" hidden="1">
      <c r="A1228" s="407"/>
      <c r="C1228" s="149"/>
      <c r="D1228" s="444" t="s">
        <v>10</v>
      </c>
      <c r="E1228" s="444"/>
      <c r="F1228" s="444"/>
      <c r="G1228" s="444"/>
      <c r="H1228" s="444"/>
      <c r="I1228" s="29"/>
      <c r="J1228" s="80"/>
      <c r="K1228" s="29">
        <f t="shared" si="81"/>
        <v>0</v>
      </c>
      <c r="L1228" s="80"/>
    </row>
    <row r="1229" spans="1:12" s="82" customFormat="1" ht="13.5" customHeight="1">
      <c r="A1229" s="407"/>
      <c r="C1229" s="149"/>
      <c r="D1229" s="444" t="s">
        <v>9</v>
      </c>
      <c r="E1229" s="444"/>
      <c r="F1229" s="444"/>
      <c r="G1229" s="444"/>
      <c r="H1229" s="444"/>
      <c r="I1229" s="29">
        <v>580</v>
      </c>
      <c r="J1229" s="80"/>
      <c r="K1229" s="29">
        <f t="shared" si="81"/>
        <v>580</v>
      </c>
      <c r="L1229" s="80"/>
    </row>
    <row r="1230" spans="1:12" s="82" customFormat="1" ht="12" customHeight="1">
      <c r="A1230" s="407"/>
      <c r="C1230" s="151"/>
      <c r="D1230" s="444" t="s">
        <v>11</v>
      </c>
      <c r="E1230" s="444"/>
      <c r="F1230" s="444"/>
      <c r="G1230" s="444"/>
      <c r="H1230" s="444"/>
      <c r="I1230" s="29">
        <f>17834+4278+1165</f>
        <v>23277</v>
      </c>
      <c r="J1230" s="80"/>
      <c r="K1230" s="29">
        <f t="shared" si="81"/>
        <v>23277</v>
      </c>
      <c r="L1230" s="80"/>
    </row>
    <row r="1231" spans="1:12" s="82" customFormat="1" ht="13.5" customHeight="1" hidden="1">
      <c r="A1231" s="407"/>
      <c r="C1231" s="149"/>
      <c r="D1231" s="444" t="s">
        <v>12</v>
      </c>
      <c r="E1231" s="444"/>
      <c r="F1231" s="444"/>
      <c r="G1231" s="444"/>
      <c r="H1231" s="444"/>
      <c r="I1231" s="29"/>
      <c r="J1231" s="80"/>
      <c r="K1231" s="29">
        <f t="shared" si="81"/>
        <v>0</v>
      </c>
      <c r="L1231" s="80"/>
    </row>
    <row r="1232" spans="1:12" s="82" customFormat="1" ht="13.5" customHeight="1">
      <c r="A1232" s="407"/>
      <c r="C1232" s="149"/>
      <c r="D1232" s="445" t="s">
        <v>277</v>
      </c>
      <c r="E1232" s="445"/>
      <c r="F1232" s="445"/>
      <c r="G1232" s="445"/>
      <c r="H1232" s="445"/>
      <c r="I1232" s="77">
        <f>I1221-I1225</f>
        <v>245</v>
      </c>
      <c r="J1232" s="77">
        <f>J1221-J1225</f>
        <v>0</v>
      </c>
      <c r="K1232" s="77">
        <f>K1221-K1225</f>
        <v>245</v>
      </c>
      <c r="L1232" s="80"/>
    </row>
    <row r="1233" spans="1:12" s="82" customFormat="1" ht="13.5" customHeight="1">
      <c r="A1233" s="407"/>
      <c r="C1233" s="149"/>
      <c r="D1233" s="444" t="s">
        <v>279</v>
      </c>
      <c r="E1233" s="444"/>
      <c r="F1233" s="444"/>
      <c r="G1233" s="444"/>
      <c r="H1233" s="444"/>
      <c r="I1233" s="29">
        <f>I1234+I1235+I1236</f>
        <v>-245</v>
      </c>
      <c r="J1233" s="29">
        <f>J1234+J1235+J1236</f>
        <v>0</v>
      </c>
      <c r="K1233" s="29">
        <f>K1234+K1235+K1236</f>
        <v>-245</v>
      </c>
      <c r="L1233" s="80"/>
    </row>
    <row r="1234" spans="1:12" s="82" customFormat="1" ht="13.5" customHeight="1">
      <c r="A1234" s="407"/>
      <c r="C1234" s="149"/>
      <c r="D1234" s="444" t="s">
        <v>278</v>
      </c>
      <c r="E1234" s="444"/>
      <c r="F1234" s="444"/>
      <c r="G1234" s="444"/>
      <c r="H1234" s="444"/>
      <c r="I1234" s="29">
        <f>2653</f>
        <v>2653</v>
      </c>
      <c r="J1234" s="29"/>
      <c r="K1234" s="80">
        <f>SUM(I1234:J1234)</f>
        <v>2653</v>
      </c>
      <c r="L1234" s="80"/>
    </row>
    <row r="1235" spans="1:12" s="82" customFormat="1" ht="13.5" customHeight="1" hidden="1">
      <c r="A1235" s="407"/>
      <c r="C1235" s="149"/>
      <c r="D1235" s="444" t="s">
        <v>280</v>
      </c>
      <c r="E1235" s="444"/>
      <c r="F1235" s="444"/>
      <c r="G1235" s="444"/>
      <c r="H1235" s="444"/>
      <c r="I1235" s="29"/>
      <c r="J1235" s="77"/>
      <c r="K1235" s="80">
        <f>SUM(I1235:J1235)</f>
        <v>0</v>
      </c>
      <c r="L1235" s="80"/>
    </row>
    <row r="1236" spans="1:12" s="82" customFormat="1" ht="13.5" customHeight="1">
      <c r="A1236" s="407"/>
      <c r="C1236" s="149"/>
      <c r="D1236" s="444" t="s">
        <v>281</v>
      </c>
      <c r="E1236" s="444"/>
      <c r="F1236" s="444"/>
      <c r="G1236" s="444"/>
      <c r="H1236" s="444"/>
      <c r="I1236" s="29">
        <v>-2898</v>
      </c>
      <c r="J1236" s="77"/>
      <c r="K1236" s="80">
        <f>SUM(I1236:J1236)</f>
        <v>-2898</v>
      </c>
      <c r="L1236" s="80"/>
    </row>
    <row r="1237" spans="1:12" s="82" customFormat="1" ht="3.75" customHeight="1">
      <c r="A1237" s="407"/>
      <c r="C1237" s="149"/>
      <c r="D1237" s="81"/>
      <c r="E1237" s="440"/>
      <c r="F1237" s="440"/>
      <c r="G1237" s="440"/>
      <c r="H1237" s="440"/>
      <c r="I1237" s="29"/>
      <c r="J1237" s="80"/>
      <c r="K1237" s="29"/>
      <c r="L1237" s="80"/>
    </row>
    <row r="1238" spans="1:12" s="95" customFormat="1" ht="13.5" customHeight="1">
      <c r="A1238" s="407"/>
      <c r="C1238" s="143" t="s">
        <v>66</v>
      </c>
      <c r="D1238" s="441" t="s">
        <v>405</v>
      </c>
      <c r="E1238" s="441"/>
      <c r="F1238" s="441"/>
      <c r="G1238" s="441"/>
      <c r="H1238" s="441"/>
      <c r="I1238" s="129"/>
      <c r="J1238" s="127"/>
      <c r="K1238" s="129"/>
      <c r="L1238" s="127"/>
    </row>
    <row r="1239" spans="1:12" s="82" customFormat="1" ht="13.5" customHeight="1">
      <c r="A1239" s="407"/>
      <c r="C1239" s="96"/>
      <c r="D1239" s="447" t="s">
        <v>37</v>
      </c>
      <c r="E1239" s="447"/>
      <c r="F1239" s="447"/>
      <c r="G1239" s="447"/>
      <c r="H1239" s="447"/>
      <c r="I1239" s="77">
        <f>SUM(I1240:I1242)</f>
        <v>640</v>
      </c>
      <c r="J1239" s="77">
        <f>SUM(J1240:J1242)</f>
        <v>0</v>
      </c>
      <c r="K1239" s="77">
        <f>SUM(K1240:K1242)</f>
        <v>640</v>
      </c>
      <c r="L1239" s="80"/>
    </row>
    <row r="1240" spans="1:12" s="82" customFormat="1" ht="2.25" customHeight="1" hidden="1">
      <c r="A1240" s="407"/>
      <c r="C1240" s="96"/>
      <c r="D1240" s="446" t="s">
        <v>5</v>
      </c>
      <c r="E1240" s="446"/>
      <c r="F1240" s="446"/>
      <c r="G1240" s="446"/>
      <c r="H1240" s="446"/>
      <c r="I1240" s="29"/>
      <c r="J1240" s="80"/>
      <c r="K1240" s="29">
        <f>SUM(I1240:J1240)</f>
        <v>0</v>
      </c>
      <c r="L1240" s="80"/>
    </row>
    <row r="1241" spans="1:12" s="82" customFormat="1" ht="13.5" customHeight="1">
      <c r="A1241" s="407"/>
      <c r="C1241" s="96"/>
      <c r="D1241" s="446" t="s">
        <v>6</v>
      </c>
      <c r="E1241" s="446"/>
      <c r="F1241" s="446"/>
      <c r="G1241" s="446"/>
      <c r="H1241" s="446"/>
      <c r="I1241" s="29">
        <v>640</v>
      </c>
      <c r="J1241" s="80"/>
      <c r="K1241" s="29">
        <f>SUM(I1241:J1241)</f>
        <v>640</v>
      </c>
      <c r="L1241" s="80"/>
    </row>
    <row r="1242" spans="1:12" s="82" customFormat="1" ht="13.5" customHeight="1" hidden="1">
      <c r="A1242" s="407"/>
      <c r="C1242" s="96"/>
      <c r="D1242" s="446" t="s">
        <v>7</v>
      </c>
      <c r="E1242" s="446"/>
      <c r="F1242" s="446"/>
      <c r="G1242" s="446"/>
      <c r="H1242" s="446"/>
      <c r="I1242" s="29"/>
      <c r="J1242" s="80"/>
      <c r="K1242" s="29">
        <f>SUM(I1242:J1242)</f>
        <v>0</v>
      </c>
      <c r="L1242" s="80"/>
    </row>
    <row r="1243" spans="1:12" s="82" customFormat="1" ht="13.5" customHeight="1">
      <c r="A1243" s="407"/>
      <c r="C1243" s="96"/>
      <c r="D1243" s="447" t="s">
        <v>38</v>
      </c>
      <c r="E1243" s="447"/>
      <c r="F1243" s="447"/>
      <c r="G1243" s="447"/>
      <c r="H1243" s="447"/>
      <c r="I1243" s="254">
        <f>SUM(I1244:I1249)</f>
        <v>2242</v>
      </c>
      <c r="J1243" s="254">
        <f>SUM(J1244:J1249)</f>
        <v>0</v>
      </c>
      <c r="K1243" s="254">
        <f>SUM(K1244:K1249)</f>
        <v>2242</v>
      </c>
      <c r="L1243" s="80"/>
    </row>
    <row r="1244" spans="1:12" s="82" customFormat="1" ht="13.5" customHeight="1">
      <c r="A1244" s="407"/>
      <c r="C1244" s="96"/>
      <c r="D1244" s="446" t="s">
        <v>289</v>
      </c>
      <c r="E1244" s="446"/>
      <c r="F1244" s="446"/>
      <c r="G1244" s="446"/>
      <c r="H1244" s="446"/>
      <c r="I1244" s="29">
        <f>1328+498</f>
        <v>1826</v>
      </c>
      <c r="J1244" s="80"/>
      <c r="K1244" s="29">
        <f aca="true" t="shared" si="82" ref="K1244:K1249">SUM(I1244:J1244)</f>
        <v>1826</v>
      </c>
      <c r="L1244" s="80"/>
    </row>
    <row r="1245" spans="1:12" s="82" customFormat="1" ht="12.75" customHeight="1">
      <c r="A1245" s="407"/>
      <c r="C1245" s="151"/>
      <c r="D1245" s="444" t="s">
        <v>8</v>
      </c>
      <c r="E1245" s="448"/>
      <c r="F1245" s="448"/>
      <c r="G1245" s="448"/>
      <c r="H1245" s="448"/>
      <c r="I1245" s="29">
        <f>244+172</f>
        <v>416</v>
      </c>
      <c r="J1245" s="80"/>
      <c r="K1245" s="29">
        <f t="shared" si="82"/>
        <v>416</v>
      </c>
      <c r="L1245" s="80"/>
    </row>
    <row r="1246" spans="1:12" s="82" customFormat="1" ht="13.5" customHeight="1" hidden="1">
      <c r="A1246" s="407"/>
      <c r="C1246" s="149"/>
      <c r="D1246" s="444" t="s">
        <v>10</v>
      </c>
      <c r="E1246" s="444"/>
      <c r="F1246" s="444"/>
      <c r="G1246" s="444"/>
      <c r="H1246" s="444"/>
      <c r="I1246" s="29"/>
      <c r="J1246" s="80"/>
      <c r="K1246" s="29">
        <f t="shared" si="82"/>
        <v>0</v>
      </c>
      <c r="L1246" s="80"/>
    </row>
    <row r="1247" spans="1:12" s="82" customFormat="1" ht="13.5" customHeight="1" hidden="1">
      <c r="A1247" s="407"/>
      <c r="C1247" s="151"/>
      <c r="D1247" s="444" t="s">
        <v>9</v>
      </c>
      <c r="E1247" s="444"/>
      <c r="F1247" s="444"/>
      <c r="G1247" s="444"/>
      <c r="H1247" s="444"/>
      <c r="I1247" s="29"/>
      <c r="J1247" s="80"/>
      <c r="K1247" s="29">
        <f t="shared" si="82"/>
        <v>0</v>
      </c>
      <c r="L1247" s="80"/>
    </row>
    <row r="1248" spans="1:12" s="82" customFormat="1" ht="13.5" customHeight="1" hidden="1">
      <c r="A1248" s="407"/>
      <c r="C1248" s="149"/>
      <c r="D1248" s="444" t="s">
        <v>11</v>
      </c>
      <c r="E1248" s="444"/>
      <c r="F1248" s="444"/>
      <c r="G1248" s="444"/>
      <c r="H1248" s="444"/>
      <c r="I1248" s="29"/>
      <c r="J1248" s="80"/>
      <c r="K1248" s="29">
        <f t="shared" si="82"/>
        <v>0</v>
      </c>
      <c r="L1248" s="80"/>
    </row>
    <row r="1249" spans="1:12" s="82" customFormat="1" ht="13.5" customHeight="1" hidden="1">
      <c r="A1249" s="407"/>
      <c r="C1249" s="149"/>
      <c r="D1249" s="444" t="s">
        <v>12</v>
      </c>
      <c r="E1249" s="444"/>
      <c r="F1249" s="444"/>
      <c r="G1249" s="444"/>
      <c r="H1249" s="444"/>
      <c r="I1249" s="29"/>
      <c r="J1249" s="80"/>
      <c r="K1249" s="29">
        <f t="shared" si="82"/>
        <v>0</v>
      </c>
      <c r="L1249" s="80"/>
    </row>
    <row r="1250" spans="1:12" s="82" customFormat="1" ht="13.5" customHeight="1">
      <c r="A1250" s="407"/>
      <c r="C1250" s="149"/>
      <c r="D1250" s="445" t="s">
        <v>277</v>
      </c>
      <c r="E1250" s="445"/>
      <c r="F1250" s="445"/>
      <c r="G1250" s="445"/>
      <c r="H1250" s="445"/>
      <c r="I1250" s="77">
        <f>I1239-I1243</f>
        <v>-1602</v>
      </c>
      <c r="J1250" s="77">
        <f>J1239-J1243</f>
        <v>0</v>
      </c>
      <c r="K1250" s="77">
        <f>K1239-K1243</f>
        <v>-1602</v>
      </c>
      <c r="L1250" s="80"/>
    </row>
    <row r="1251" spans="1:12" s="82" customFormat="1" ht="13.5" customHeight="1">
      <c r="A1251" s="407"/>
      <c r="C1251" s="149"/>
      <c r="D1251" s="444" t="s">
        <v>279</v>
      </c>
      <c r="E1251" s="444"/>
      <c r="F1251" s="444"/>
      <c r="G1251" s="444"/>
      <c r="H1251" s="444"/>
      <c r="I1251" s="29">
        <f>I1252+I1253+I1254</f>
        <v>1602</v>
      </c>
      <c r="J1251" s="29">
        <f>J1252+J1253+J1254</f>
        <v>0</v>
      </c>
      <c r="K1251" s="29">
        <f>K1252+K1253+K1254</f>
        <v>1602</v>
      </c>
      <c r="L1251" s="80"/>
    </row>
    <row r="1252" spans="1:12" s="82" customFormat="1" ht="12" customHeight="1">
      <c r="A1252" s="407"/>
      <c r="C1252" s="149"/>
      <c r="D1252" s="444" t="s">
        <v>278</v>
      </c>
      <c r="E1252" s="444"/>
      <c r="F1252" s="444"/>
      <c r="G1252" s="444"/>
      <c r="H1252" s="444"/>
      <c r="I1252" s="29">
        <f>1572+30</f>
        <v>1602</v>
      </c>
      <c r="J1252" s="77"/>
      <c r="K1252" s="80">
        <f>SUM(I1252:J1252)</f>
        <v>1602</v>
      </c>
      <c r="L1252" s="80"/>
    </row>
    <row r="1253" spans="1:12" s="82" customFormat="1" ht="13.5" customHeight="1" hidden="1">
      <c r="A1253" s="407"/>
      <c r="C1253" s="149"/>
      <c r="D1253" s="444" t="s">
        <v>280</v>
      </c>
      <c r="E1253" s="444"/>
      <c r="F1253" s="444"/>
      <c r="G1253" s="444"/>
      <c r="H1253" s="444"/>
      <c r="I1253" s="29"/>
      <c r="J1253" s="77"/>
      <c r="K1253" s="80">
        <f>SUM(I1253:J1253)</f>
        <v>0</v>
      </c>
      <c r="L1253" s="80"/>
    </row>
    <row r="1254" spans="1:12" s="82" customFormat="1" ht="13.5" customHeight="1" hidden="1">
      <c r="A1254" s="407"/>
      <c r="C1254" s="149"/>
      <c r="D1254" s="444" t="s">
        <v>281</v>
      </c>
      <c r="E1254" s="444"/>
      <c r="F1254" s="444"/>
      <c r="G1254" s="444"/>
      <c r="H1254" s="444"/>
      <c r="I1254" s="29"/>
      <c r="J1254" s="77"/>
      <c r="K1254" s="80">
        <f>SUM(I1254:J1254)</f>
        <v>0</v>
      </c>
      <c r="L1254" s="80"/>
    </row>
    <row r="1255" spans="1:12" s="82" customFormat="1" ht="25.5" customHeight="1">
      <c r="A1255" s="407"/>
      <c r="C1255" s="149"/>
      <c r="D1255" s="85"/>
      <c r="E1255" s="85"/>
      <c r="F1255" s="85"/>
      <c r="G1255" s="85"/>
      <c r="H1255" s="85"/>
      <c r="I1255" s="29"/>
      <c r="J1255" s="80"/>
      <c r="K1255" s="29"/>
      <c r="L1255" s="80"/>
    </row>
    <row r="1256" spans="1:12" s="82" customFormat="1" ht="9.75" customHeight="1" hidden="1">
      <c r="A1256" s="407"/>
      <c r="C1256" s="149"/>
      <c r="D1256" s="81"/>
      <c r="E1256" s="81"/>
      <c r="F1256" s="81"/>
      <c r="G1256" s="81"/>
      <c r="H1256" s="81"/>
      <c r="I1256" s="29"/>
      <c r="J1256" s="80"/>
      <c r="K1256" s="80"/>
      <c r="L1256" s="80"/>
    </row>
    <row r="1257" spans="1:13" s="15" customFormat="1" ht="13.5" customHeight="1">
      <c r="A1257" s="407"/>
      <c r="C1257" s="142" t="s">
        <v>60</v>
      </c>
      <c r="D1257" s="450" t="s">
        <v>136</v>
      </c>
      <c r="E1257" s="450"/>
      <c r="F1257" s="450"/>
      <c r="G1257" s="450"/>
      <c r="H1257" s="450"/>
      <c r="I1257" s="17"/>
      <c r="J1257" s="126"/>
      <c r="K1257" s="126"/>
      <c r="L1257" s="127"/>
      <c r="M1257" s="95"/>
    </row>
    <row r="1258" spans="1:13" s="15" customFormat="1" ht="13.5" customHeight="1">
      <c r="A1258" s="407"/>
      <c r="C1258" s="154"/>
      <c r="D1258" s="447" t="s">
        <v>37</v>
      </c>
      <c r="E1258" s="447"/>
      <c r="F1258" s="447"/>
      <c r="G1258" s="447"/>
      <c r="H1258" s="447"/>
      <c r="I1258" s="77">
        <f>SUM(I1259:I1261)</f>
        <v>151001</v>
      </c>
      <c r="J1258" s="77">
        <f>SUM(J1259:J1261)</f>
        <v>17587</v>
      </c>
      <c r="K1258" s="77">
        <f>SUM(K1259:K1261)</f>
        <v>168588</v>
      </c>
      <c r="L1258" s="127"/>
      <c r="M1258" s="95"/>
    </row>
    <row r="1259" spans="1:13" s="15" customFormat="1" ht="13.5" customHeight="1">
      <c r="A1259" s="407"/>
      <c r="C1259" s="154"/>
      <c r="D1259" s="446" t="s">
        <v>5</v>
      </c>
      <c r="E1259" s="446"/>
      <c r="F1259" s="446"/>
      <c r="G1259" s="446"/>
      <c r="H1259" s="446"/>
      <c r="I1259" s="29">
        <f aca="true" t="shared" si="83" ref="I1259:K1261">I1277+I1295+I1313</f>
        <v>143818</v>
      </c>
      <c r="J1259" s="29">
        <f t="shared" si="83"/>
        <v>17587</v>
      </c>
      <c r="K1259" s="29">
        <f t="shared" si="83"/>
        <v>161405</v>
      </c>
      <c r="L1259" s="127"/>
      <c r="M1259" s="95"/>
    </row>
    <row r="1260" spans="1:13" s="15" customFormat="1" ht="13.5" customHeight="1">
      <c r="A1260" s="407"/>
      <c r="C1260" s="154"/>
      <c r="D1260" s="446" t="s">
        <v>6</v>
      </c>
      <c r="E1260" s="446"/>
      <c r="F1260" s="446"/>
      <c r="G1260" s="446"/>
      <c r="H1260" s="446"/>
      <c r="I1260" s="29">
        <f t="shared" si="83"/>
        <v>7183</v>
      </c>
      <c r="J1260" s="29">
        <f t="shared" si="83"/>
        <v>0</v>
      </c>
      <c r="K1260" s="29">
        <f t="shared" si="83"/>
        <v>7183</v>
      </c>
      <c r="L1260" s="127"/>
      <c r="M1260" s="95"/>
    </row>
    <row r="1261" spans="1:13" s="15" customFormat="1" ht="13.5" customHeight="1" hidden="1">
      <c r="A1261" s="407"/>
      <c r="C1261" s="154"/>
      <c r="D1261" s="446" t="s">
        <v>7</v>
      </c>
      <c r="E1261" s="446"/>
      <c r="F1261" s="446"/>
      <c r="G1261" s="446"/>
      <c r="H1261" s="446"/>
      <c r="I1261" s="29">
        <f t="shared" si="83"/>
        <v>0</v>
      </c>
      <c r="J1261" s="29">
        <f t="shared" si="83"/>
        <v>0</v>
      </c>
      <c r="K1261" s="29">
        <f t="shared" si="83"/>
        <v>0</v>
      </c>
      <c r="L1261" s="127"/>
      <c r="M1261" s="95"/>
    </row>
    <row r="1262" spans="1:13" s="15" customFormat="1" ht="13.5" customHeight="1">
      <c r="A1262" s="407"/>
      <c r="C1262" s="154"/>
      <c r="D1262" s="447" t="s">
        <v>38</v>
      </c>
      <c r="E1262" s="447"/>
      <c r="F1262" s="447"/>
      <c r="G1262" s="447"/>
      <c r="H1262" s="447"/>
      <c r="I1262" s="253">
        <f>SUM(I1263:I1268)</f>
        <v>151501</v>
      </c>
      <c r="J1262" s="253">
        <f>SUM(J1263:J1268)</f>
        <v>17587</v>
      </c>
      <c r="K1262" s="253">
        <f>SUM(K1263:K1268)</f>
        <v>169088</v>
      </c>
      <c r="L1262" s="127"/>
      <c r="M1262" s="95"/>
    </row>
    <row r="1263" spans="1:13" s="79" customFormat="1" ht="13.5" customHeight="1">
      <c r="A1263" s="407"/>
      <c r="C1263" s="151"/>
      <c r="D1263" s="446" t="s">
        <v>289</v>
      </c>
      <c r="E1263" s="446"/>
      <c r="F1263" s="446"/>
      <c r="G1263" s="446"/>
      <c r="H1263" s="446"/>
      <c r="I1263" s="29">
        <f aca="true" t="shared" si="84" ref="I1263:K1268">I1281+I1299+I1317</f>
        <v>110571</v>
      </c>
      <c r="J1263" s="29">
        <f t="shared" si="84"/>
        <v>12127</v>
      </c>
      <c r="K1263" s="29">
        <f t="shared" si="84"/>
        <v>122698</v>
      </c>
      <c r="L1263" s="80"/>
      <c r="M1263" s="82"/>
    </row>
    <row r="1264" spans="1:12" s="82" customFormat="1" ht="12" customHeight="1">
      <c r="A1264" s="407"/>
      <c r="C1264" s="149"/>
      <c r="D1264" s="444" t="s">
        <v>8</v>
      </c>
      <c r="E1264" s="448"/>
      <c r="F1264" s="448"/>
      <c r="G1264" s="448"/>
      <c r="H1264" s="448"/>
      <c r="I1264" s="29">
        <f t="shared" si="84"/>
        <v>40730</v>
      </c>
      <c r="J1264" s="29">
        <f t="shared" si="84"/>
        <v>1800</v>
      </c>
      <c r="K1264" s="29">
        <f t="shared" si="84"/>
        <v>42530</v>
      </c>
      <c r="L1264" s="80"/>
    </row>
    <row r="1265" spans="1:12" s="82" customFormat="1" ht="13.5" customHeight="1" hidden="1">
      <c r="A1265" s="407"/>
      <c r="C1265" s="149"/>
      <c r="D1265" s="444" t="s">
        <v>10</v>
      </c>
      <c r="E1265" s="444"/>
      <c r="F1265" s="444"/>
      <c r="G1265" s="444"/>
      <c r="H1265" s="444"/>
      <c r="I1265" s="29">
        <f t="shared" si="84"/>
        <v>0</v>
      </c>
      <c r="J1265" s="29">
        <f t="shared" si="84"/>
        <v>0</v>
      </c>
      <c r="K1265" s="29">
        <f t="shared" si="84"/>
        <v>0</v>
      </c>
      <c r="L1265" s="80"/>
    </row>
    <row r="1266" spans="1:12" s="82" customFormat="1" ht="13.5" customHeight="1" hidden="1">
      <c r="A1266" s="407"/>
      <c r="C1266" s="149"/>
      <c r="D1266" s="444" t="s">
        <v>9</v>
      </c>
      <c r="E1266" s="444"/>
      <c r="F1266" s="444"/>
      <c r="G1266" s="444"/>
      <c r="H1266" s="444"/>
      <c r="I1266" s="29">
        <f t="shared" si="84"/>
        <v>0</v>
      </c>
      <c r="J1266" s="29">
        <f t="shared" si="84"/>
        <v>0</v>
      </c>
      <c r="K1266" s="29">
        <f t="shared" si="84"/>
        <v>0</v>
      </c>
      <c r="L1266" s="80"/>
    </row>
    <row r="1267" spans="1:13" s="79" customFormat="1" ht="13.5" customHeight="1">
      <c r="A1267" s="407"/>
      <c r="C1267" s="151"/>
      <c r="D1267" s="444" t="s">
        <v>11</v>
      </c>
      <c r="E1267" s="444"/>
      <c r="F1267" s="444"/>
      <c r="G1267" s="444"/>
      <c r="H1267" s="444"/>
      <c r="I1267" s="29">
        <f t="shared" si="84"/>
        <v>200</v>
      </c>
      <c r="J1267" s="29">
        <f t="shared" si="84"/>
        <v>3660</v>
      </c>
      <c r="K1267" s="29">
        <f t="shared" si="84"/>
        <v>3860</v>
      </c>
      <c r="L1267" s="80"/>
      <c r="M1267" s="82"/>
    </row>
    <row r="1268" spans="1:12" s="82" customFormat="1" ht="13.5" customHeight="1" hidden="1">
      <c r="A1268" s="407"/>
      <c r="C1268" s="149"/>
      <c r="D1268" s="444" t="s">
        <v>12</v>
      </c>
      <c r="E1268" s="444"/>
      <c r="F1268" s="444"/>
      <c r="G1268" s="444"/>
      <c r="H1268" s="444"/>
      <c r="I1268" s="29">
        <f t="shared" si="84"/>
        <v>0</v>
      </c>
      <c r="J1268" s="29">
        <f t="shared" si="84"/>
        <v>0</v>
      </c>
      <c r="K1268" s="29">
        <f t="shared" si="84"/>
        <v>0</v>
      </c>
      <c r="L1268" s="80"/>
    </row>
    <row r="1269" spans="1:12" s="82" customFormat="1" ht="13.5" customHeight="1">
      <c r="A1269" s="407"/>
      <c r="C1269" s="149"/>
      <c r="D1269" s="445" t="s">
        <v>277</v>
      </c>
      <c r="E1269" s="445"/>
      <c r="F1269" s="445"/>
      <c r="G1269" s="445"/>
      <c r="H1269" s="445"/>
      <c r="I1269" s="77">
        <f>I1258-I1262</f>
        <v>-500</v>
      </c>
      <c r="J1269" s="77">
        <f>J1258-J1262</f>
        <v>0</v>
      </c>
      <c r="K1269" s="77">
        <f>K1258-K1262</f>
        <v>-500</v>
      </c>
      <c r="L1269" s="80"/>
    </row>
    <row r="1270" spans="1:12" s="82" customFormat="1" ht="13.5" customHeight="1">
      <c r="A1270" s="407"/>
      <c r="C1270" s="149"/>
      <c r="D1270" s="444" t="s">
        <v>279</v>
      </c>
      <c r="E1270" s="444"/>
      <c r="F1270" s="444"/>
      <c r="G1270" s="444"/>
      <c r="H1270" s="444"/>
      <c r="I1270" s="29">
        <f>I1271+I1272+I1273</f>
        <v>500</v>
      </c>
      <c r="J1270" s="29">
        <f>J1271+J1272+J1273</f>
        <v>0</v>
      </c>
      <c r="K1270" s="29">
        <f>K1271+K1272+K1273</f>
        <v>500</v>
      </c>
      <c r="L1270" s="80"/>
    </row>
    <row r="1271" spans="1:12" s="82" customFormat="1" ht="12" customHeight="1">
      <c r="A1271" s="407"/>
      <c r="C1271" s="149"/>
      <c r="D1271" s="444" t="s">
        <v>278</v>
      </c>
      <c r="E1271" s="444"/>
      <c r="F1271" s="444"/>
      <c r="G1271" s="444"/>
      <c r="H1271" s="444"/>
      <c r="I1271" s="29">
        <f aca="true" t="shared" si="85" ref="I1271:K1273">I1289+I1307+I1325</f>
        <v>500</v>
      </c>
      <c r="J1271" s="29">
        <f t="shared" si="85"/>
        <v>0</v>
      </c>
      <c r="K1271" s="29">
        <f t="shared" si="85"/>
        <v>500</v>
      </c>
      <c r="L1271" s="80"/>
    </row>
    <row r="1272" spans="1:12" s="82" customFormat="1" ht="13.5" customHeight="1" hidden="1">
      <c r="A1272" s="407"/>
      <c r="C1272" s="149"/>
      <c r="D1272" s="444" t="s">
        <v>280</v>
      </c>
      <c r="E1272" s="444"/>
      <c r="F1272" s="444"/>
      <c r="G1272" s="444"/>
      <c r="H1272" s="444"/>
      <c r="I1272" s="29">
        <f t="shared" si="85"/>
        <v>0</v>
      </c>
      <c r="J1272" s="29">
        <f t="shared" si="85"/>
        <v>0</v>
      </c>
      <c r="K1272" s="29">
        <f t="shared" si="85"/>
        <v>0</v>
      </c>
      <c r="L1272" s="80"/>
    </row>
    <row r="1273" spans="1:12" s="82" customFormat="1" ht="13.5" customHeight="1" hidden="1">
      <c r="A1273" s="407"/>
      <c r="C1273" s="149"/>
      <c r="D1273" s="444" t="s">
        <v>281</v>
      </c>
      <c r="E1273" s="444"/>
      <c r="F1273" s="444"/>
      <c r="G1273" s="444"/>
      <c r="H1273" s="444"/>
      <c r="I1273" s="29">
        <f t="shared" si="85"/>
        <v>0</v>
      </c>
      <c r="J1273" s="29">
        <f t="shared" si="85"/>
        <v>0</v>
      </c>
      <c r="K1273" s="29">
        <f t="shared" si="85"/>
        <v>0</v>
      </c>
      <c r="L1273" s="80"/>
    </row>
    <row r="1274" spans="1:12" s="82" customFormat="1" ht="9" customHeight="1">
      <c r="A1274" s="407"/>
      <c r="C1274" s="149"/>
      <c r="D1274" s="85"/>
      <c r="E1274" s="85"/>
      <c r="F1274" s="85"/>
      <c r="G1274" s="85"/>
      <c r="H1274" s="85"/>
      <c r="I1274" s="29"/>
      <c r="J1274" s="29"/>
      <c r="K1274" s="29"/>
      <c r="L1274" s="80"/>
    </row>
    <row r="1275" spans="1:12" s="95" customFormat="1" ht="13.5" customHeight="1">
      <c r="A1275" s="407"/>
      <c r="C1275" s="153" t="s">
        <v>65</v>
      </c>
      <c r="D1275" s="449" t="s">
        <v>136</v>
      </c>
      <c r="E1275" s="449"/>
      <c r="F1275" s="449"/>
      <c r="G1275" s="449"/>
      <c r="H1275" s="449"/>
      <c r="I1275" s="129"/>
      <c r="J1275" s="127"/>
      <c r="K1275" s="127"/>
      <c r="L1275" s="127"/>
    </row>
    <row r="1276" spans="1:12" s="82" customFormat="1" ht="13.5" customHeight="1">
      <c r="A1276" s="407"/>
      <c r="C1276" s="149"/>
      <c r="D1276" s="447" t="s">
        <v>37</v>
      </c>
      <c r="E1276" s="447"/>
      <c r="F1276" s="447"/>
      <c r="G1276" s="447"/>
      <c r="H1276" s="447"/>
      <c r="I1276" s="77">
        <f>SUM(I1277:I1279)</f>
        <v>140064</v>
      </c>
      <c r="J1276" s="77">
        <f>SUM(J1277:J1279)</f>
        <v>16977</v>
      </c>
      <c r="K1276" s="77">
        <f>SUM(K1277:K1279)</f>
        <v>157041</v>
      </c>
      <c r="L1276" s="80"/>
    </row>
    <row r="1277" spans="1:12" s="82" customFormat="1" ht="13.5" customHeight="1">
      <c r="A1277" s="407"/>
      <c r="C1277" s="149"/>
      <c r="D1277" s="446" t="s">
        <v>5</v>
      </c>
      <c r="E1277" s="446"/>
      <c r="F1277" s="446"/>
      <c r="G1277" s="446"/>
      <c r="H1277" s="446"/>
      <c r="I1277" s="29">
        <f>129295+5023</f>
        <v>134318</v>
      </c>
      <c r="J1277" s="80">
        <f>11712+3660+1605</f>
        <v>16977</v>
      </c>
      <c r="K1277" s="80">
        <f>SUM(I1277:J1277)</f>
        <v>151295</v>
      </c>
      <c r="L1277" s="80"/>
    </row>
    <row r="1278" spans="1:12" s="82" customFormat="1" ht="13.5" customHeight="1">
      <c r="A1278" s="407"/>
      <c r="C1278" s="149"/>
      <c r="D1278" s="446" t="s">
        <v>6</v>
      </c>
      <c r="E1278" s="446"/>
      <c r="F1278" s="446"/>
      <c r="G1278" s="446"/>
      <c r="H1278" s="446"/>
      <c r="I1278" s="29">
        <v>5746</v>
      </c>
      <c r="J1278" s="80"/>
      <c r="K1278" s="80">
        <f>SUM(I1278:J1278)</f>
        <v>5746</v>
      </c>
      <c r="L1278" s="80"/>
    </row>
    <row r="1279" spans="1:12" s="82" customFormat="1" ht="13.5" customHeight="1" hidden="1">
      <c r="A1279" s="407"/>
      <c r="C1279" s="149"/>
      <c r="D1279" s="446" t="s">
        <v>7</v>
      </c>
      <c r="E1279" s="446"/>
      <c r="F1279" s="446"/>
      <c r="G1279" s="446"/>
      <c r="H1279" s="446"/>
      <c r="I1279" s="29"/>
      <c r="J1279" s="80"/>
      <c r="K1279" s="80">
        <f>SUM(I1279:J1279)</f>
        <v>0</v>
      </c>
      <c r="L1279" s="80"/>
    </row>
    <row r="1280" spans="1:12" s="82" customFormat="1" ht="13.5" customHeight="1">
      <c r="A1280" s="407"/>
      <c r="C1280" s="149"/>
      <c r="D1280" s="447" t="s">
        <v>38</v>
      </c>
      <c r="E1280" s="447"/>
      <c r="F1280" s="447"/>
      <c r="G1280" s="447"/>
      <c r="H1280" s="447"/>
      <c r="I1280" s="254">
        <f>SUM(I1281:I1286)</f>
        <v>140564</v>
      </c>
      <c r="J1280" s="254">
        <f>SUM(J1281:J1286)</f>
        <v>16977</v>
      </c>
      <c r="K1280" s="254">
        <f>SUM(K1281:K1286)</f>
        <v>157541</v>
      </c>
      <c r="L1280" s="80"/>
    </row>
    <row r="1281" spans="1:12" s="82" customFormat="1" ht="13.5" customHeight="1">
      <c r="A1281" s="407"/>
      <c r="C1281" s="149"/>
      <c r="D1281" s="446" t="s">
        <v>289</v>
      </c>
      <c r="E1281" s="446"/>
      <c r="F1281" s="446"/>
      <c r="G1281" s="446"/>
      <c r="H1281" s="446"/>
      <c r="I1281" s="29">
        <f>103001+2110</f>
        <v>105111</v>
      </c>
      <c r="J1281" s="80">
        <f>9912+1605</f>
        <v>11517</v>
      </c>
      <c r="K1281" s="80">
        <f aca="true" t="shared" si="86" ref="K1281:K1286">SUM(I1281:J1281)</f>
        <v>116628</v>
      </c>
      <c r="L1281" s="80"/>
    </row>
    <row r="1282" spans="1:12" s="82" customFormat="1" ht="13.5" customHeight="1">
      <c r="A1282" s="407"/>
      <c r="C1282" s="149"/>
      <c r="D1282" s="444" t="s">
        <v>8</v>
      </c>
      <c r="E1282" s="448"/>
      <c r="F1282" s="448"/>
      <c r="G1282" s="448"/>
      <c r="H1282" s="448"/>
      <c r="I1282" s="29">
        <f>26094+4136+5023</f>
        <v>35253</v>
      </c>
      <c r="J1282" s="80">
        <v>1800</v>
      </c>
      <c r="K1282" s="80">
        <f t="shared" si="86"/>
        <v>37053</v>
      </c>
      <c r="L1282" s="80"/>
    </row>
    <row r="1283" spans="1:12" s="82" customFormat="1" ht="13.5" customHeight="1" hidden="1">
      <c r="A1283" s="407"/>
      <c r="C1283" s="149"/>
      <c r="D1283" s="444" t="s">
        <v>10</v>
      </c>
      <c r="E1283" s="444"/>
      <c r="F1283" s="444"/>
      <c r="G1283" s="444"/>
      <c r="H1283" s="444"/>
      <c r="I1283" s="29"/>
      <c r="J1283" s="80"/>
      <c r="K1283" s="80">
        <f t="shared" si="86"/>
        <v>0</v>
      </c>
      <c r="L1283" s="80"/>
    </row>
    <row r="1284" spans="1:12" s="82" customFormat="1" ht="13.5" customHeight="1" hidden="1">
      <c r="A1284" s="407"/>
      <c r="C1284" s="149"/>
      <c r="D1284" s="444" t="s">
        <v>9</v>
      </c>
      <c r="E1284" s="444"/>
      <c r="F1284" s="444"/>
      <c r="G1284" s="444"/>
      <c r="H1284" s="444"/>
      <c r="I1284" s="29"/>
      <c r="J1284" s="80"/>
      <c r="K1284" s="80">
        <f t="shared" si="86"/>
        <v>0</v>
      </c>
      <c r="L1284" s="80"/>
    </row>
    <row r="1285" spans="1:13" s="79" customFormat="1" ht="12.75" customHeight="1">
      <c r="A1285" s="407"/>
      <c r="C1285" s="151"/>
      <c r="D1285" s="444" t="s">
        <v>11</v>
      </c>
      <c r="E1285" s="444"/>
      <c r="F1285" s="444"/>
      <c r="G1285" s="444"/>
      <c r="H1285" s="444"/>
      <c r="I1285" s="29">
        <v>200</v>
      </c>
      <c r="J1285" s="29">
        <f>3660</f>
        <v>3660</v>
      </c>
      <c r="K1285" s="80">
        <f t="shared" si="86"/>
        <v>3860</v>
      </c>
      <c r="L1285" s="80"/>
      <c r="M1285" s="82"/>
    </row>
    <row r="1286" spans="1:12" s="82" customFormat="1" ht="13.5" customHeight="1" hidden="1">
      <c r="A1286" s="407"/>
      <c r="C1286" s="149"/>
      <c r="D1286" s="444" t="s">
        <v>12</v>
      </c>
      <c r="E1286" s="444"/>
      <c r="F1286" s="444"/>
      <c r="G1286" s="444"/>
      <c r="H1286" s="444"/>
      <c r="I1286" s="29"/>
      <c r="J1286" s="80"/>
      <c r="K1286" s="80">
        <f t="shared" si="86"/>
        <v>0</v>
      </c>
      <c r="L1286" s="80"/>
    </row>
    <row r="1287" spans="1:12" s="82" customFormat="1" ht="13.5" customHeight="1">
      <c r="A1287" s="407"/>
      <c r="C1287" s="149"/>
      <c r="D1287" s="445" t="s">
        <v>277</v>
      </c>
      <c r="E1287" s="445"/>
      <c r="F1287" s="445"/>
      <c r="G1287" s="445"/>
      <c r="H1287" s="445"/>
      <c r="I1287" s="77">
        <f>I1276-I1280</f>
        <v>-500</v>
      </c>
      <c r="J1287" s="77">
        <f>J1276-J1280</f>
        <v>0</v>
      </c>
      <c r="K1287" s="77">
        <f>K1276-K1280</f>
        <v>-500</v>
      </c>
      <c r="L1287" s="80"/>
    </row>
    <row r="1288" spans="1:12" s="82" customFormat="1" ht="13.5" customHeight="1">
      <c r="A1288" s="407"/>
      <c r="C1288" s="149"/>
      <c r="D1288" s="444" t="s">
        <v>279</v>
      </c>
      <c r="E1288" s="444"/>
      <c r="F1288" s="444"/>
      <c r="G1288" s="444"/>
      <c r="H1288" s="444"/>
      <c r="I1288" s="29">
        <f>I1289+I1290+I1291</f>
        <v>500</v>
      </c>
      <c r="J1288" s="29">
        <f>J1289+J1290+J1291</f>
        <v>0</v>
      </c>
      <c r="K1288" s="29">
        <f>K1289+K1290+K1291</f>
        <v>500</v>
      </c>
      <c r="L1288" s="80"/>
    </row>
    <row r="1289" spans="1:12" s="82" customFormat="1" ht="12" customHeight="1">
      <c r="A1289" s="407"/>
      <c r="C1289" s="149"/>
      <c r="D1289" s="444" t="s">
        <v>278</v>
      </c>
      <c r="E1289" s="444"/>
      <c r="F1289" s="444"/>
      <c r="G1289" s="444"/>
      <c r="H1289" s="444"/>
      <c r="I1289" s="29">
        <v>500</v>
      </c>
      <c r="J1289" s="77"/>
      <c r="K1289" s="80">
        <f>SUM(I1289:J1289)</f>
        <v>500</v>
      </c>
      <c r="L1289" s="80"/>
    </row>
    <row r="1290" spans="1:12" s="82" customFormat="1" ht="13.5" customHeight="1" hidden="1">
      <c r="A1290" s="407"/>
      <c r="C1290" s="149"/>
      <c r="D1290" s="444" t="s">
        <v>280</v>
      </c>
      <c r="E1290" s="444"/>
      <c r="F1290" s="444"/>
      <c r="G1290" s="444"/>
      <c r="H1290" s="444"/>
      <c r="I1290" s="29"/>
      <c r="J1290" s="77"/>
      <c r="K1290" s="80">
        <f>SUM(I1290:J1290)</f>
        <v>0</v>
      </c>
      <c r="L1290" s="80"/>
    </row>
    <row r="1291" spans="1:12" s="82" customFormat="1" ht="13.5" customHeight="1" hidden="1">
      <c r="A1291" s="407"/>
      <c r="C1291" s="149"/>
      <c r="D1291" s="444" t="s">
        <v>281</v>
      </c>
      <c r="E1291" s="444"/>
      <c r="F1291" s="444"/>
      <c r="G1291" s="444"/>
      <c r="H1291" s="444"/>
      <c r="I1291" s="29"/>
      <c r="J1291" s="77"/>
      <c r="K1291" s="80">
        <f>SUM(I1291:J1291)</f>
        <v>0</v>
      </c>
      <c r="L1291" s="80"/>
    </row>
    <row r="1292" spans="1:12" s="82" customFormat="1" ht="9.75" customHeight="1">
      <c r="A1292" s="407"/>
      <c r="C1292" s="149"/>
      <c r="D1292" s="81"/>
      <c r="E1292" s="440"/>
      <c r="F1292" s="440"/>
      <c r="G1292" s="440"/>
      <c r="H1292" s="440"/>
      <c r="I1292" s="29"/>
      <c r="J1292" s="80"/>
      <c r="K1292" s="29"/>
      <c r="L1292" s="80"/>
    </row>
    <row r="1293" spans="1:12" s="95" customFormat="1" ht="24" customHeight="1">
      <c r="A1293" s="407"/>
      <c r="C1293" s="135" t="s">
        <v>108</v>
      </c>
      <c r="D1293" s="441" t="s">
        <v>64</v>
      </c>
      <c r="E1293" s="441"/>
      <c r="F1293" s="441"/>
      <c r="G1293" s="441"/>
      <c r="H1293" s="441"/>
      <c r="I1293" s="144"/>
      <c r="J1293" s="127"/>
      <c r="K1293" s="127"/>
      <c r="L1293" s="127"/>
    </row>
    <row r="1294" spans="1:12" s="95" customFormat="1" ht="13.5" customHeight="1">
      <c r="A1294" s="407"/>
      <c r="C1294" s="96"/>
      <c r="D1294" s="447" t="s">
        <v>37</v>
      </c>
      <c r="E1294" s="447"/>
      <c r="F1294" s="447"/>
      <c r="G1294" s="447"/>
      <c r="H1294" s="447"/>
      <c r="I1294" s="77">
        <f>SUM(I1295:I1297)</f>
        <v>10937</v>
      </c>
      <c r="J1294" s="77">
        <f>SUM(J1295:J1297)</f>
        <v>610</v>
      </c>
      <c r="K1294" s="77">
        <f>SUM(K1295:K1297)</f>
        <v>11547</v>
      </c>
      <c r="L1294" s="127"/>
    </row>
    <row r="1295" spans="1:12" s="95" customFormat="1" ht="13.5" customHeight="1">
      <c r="A1295" s="407"/>
      <c r="C1295" s="96"/>
      <c r="D1295" s="446" t="s">
        <v>5</v>
      </c>
      <c r="E1295" s="446"/>
      <c r="F1295" s="446"/>
      <c r="G1295" s="446"/>
      <c r="H1295" s="446"/>
      <c r="I1295" s="29">
        <v>9500</v>
      </c>
      <c r="J1295" s="80">
        <f>498+112</f>
        <v>610</v>
      </c>
      <c r="K1295" s="80">
        <f>SUM(I1295:J1295)</f>
        <v>10110</v>
      </c>
      <c r="L1295" s="127"/>
    </row>
    <row r="1296" spans="1:12" s="95" customFormat="1" ht="12.75" customHeight="1">
      <c r="A1296" s="407"/>
      <c r="C1296" s="96"/>
      <c r="D1296" s="446" t="s">
        <v>6</v>
      </c>
      <c r="E1296" s="446"/>
      <c r="F1296" s="446"/>
      <c r="G1296" s="446"/>
      <c r="H1296" s="446"/>
      <c r="I1296" s="29">
        <v>1437</v>
      </c>
      <c r="J1296" s="80"/>
      <c r="K1296" s="80">
        <f>SUM(I1296:J1296)</f>
        <v>1437</v>
      </c>
      <c r="L1296" s="127"/>
    </row>
    <row r="1297" spans="1:12" s="95" customFormat="1" ht="13.5" customHeight="1" hidden="1">
      <c r="A1297" s="407"/>
      <c r="C1297" s="96"/>
      <c r="D1297" s="446" t="s">
        <v>7</v>
      </c>
      <c r="E1297" s="446"/>
      <c r="F1297" s="446"/>
      <c r="G1297" s="446"/>
      <c r="H1297" s="446"/>
      <c r="I1297" s="29"/>
      <c r="J1297" s="80"/>
      <c r="K1297" s="80">
        <f>SUM(I1297:J1297)</f>
        <v>0</v>
      </c>
      <c r="L1297" s="127"/>
    </row>
    <row r="1298" spans="1:12" s="95" customFormat="1" ht="11.25" customHeight="1">
      <c r="A1298" s="407"/>
      <c r="C1298" s="96"/>
      <c r="D1298" s="447" t="s">
        <v>38</v>
      </c>
      <c r="E1298" s="447"/>
      <c r="F1298" s="447"/>
      <c r="G1298" s="447"/>
      <c r="H1298" s="447"/>
      <c r="I1298" s="254">
        <f>SUM(I1299:I1304)</f>
        <v>10937</v>
      </c>
      <c r="J1298" s="254">
        <f>SUM(J1299:J1304)</f>
        <v>610</v>
      </c>
      <c r="K1298" s="254">
        <f>SUM(K1299:K1304)</f>
        <v>11547</v>
      </c>
      <c r="L1298" s="127"/>
    </row>
    <row r="1299" spans="1:12" s="95" customFormat="1" ht="13.5" customHeight="1">
      <c r="A1299" s="407"/>
      <c r="C1299" s="96"/>
      <c r="D1299" s="446" t="s">
        <v>289</v>
      </c>
      <c r="E1299" s="446"/>
      <c r="F1299" s="446"/>
      <c r="G1299" s="446"/>
      <c r="H1299" s="446"/>
      <c r="I1299" s="29">
        <v>5460</v>
      </c>
      <c r="J1299" s="80">
        <f>498+112</f>
        <v>610</v>
      </c>
      <c r="K1299" s="80">
        <f aca="true" t="shared" si="87" ref="K1299:K1304">SUM(I1299:J1299)</f>
        <v>6070</v>
      </c>
      <c r="L1299" s="127"/>
    </row>
    <row r="1300" spans="1:13" s="79" customFormat="1" ht="12.75" customHeight="1">
      <c r="A1300" s="407"/>
      <c r="C1300" s="151"/>
      <c r="D1300" s="444" t="s">
        <v>8</v>
      </c>
      <c r="E1300" s="448"/>
      <c r="F1300" s="448"/>
      <c r="G1300" s="448"/>
      <c r="H1300" s="448"/>
      <c r="I1300" s="29">
        <f>4040+1437</f>
        <v>5477</v>
      </c>
      <c r="J1300" s="80"/>
      <c r="K1300" s="80">
        <f t="shared" si="87"/>
        <v>5477</v>
      </c>
      <c r="L1300" s="80"/>
      <c r="M1300" s="82"/>
    </row>
    <row r="1301" spans="1:12" s="82" customFormat="1" ht="13.5" customHeight="1" hidden="1">
      <c r="A1301" s="407"/>
      <c r="C1301" s="149"/>
      <c r="D1301" s="444" t="s">
        <v>10</v>
      </c>
      <c r="E1301" s="444"/>
      <c r="F1301" s="444"/>
      <c r="G1301" s="444"/>
      <c r="H1301" s="444"/>
      <c r="I1301" s="29"/>
      <c r="J1301" s="80"/>
      <c r="K1301" s="80">
        <f t="shared" si="87"/>
        <v>0</v>
      </c>
      <c r="L1301" s="80"/>
    </row>
    <row r="1302" spans="1:13" s="79" customFormat="1" ht="13.5" customHeight="1" hidden="1">
      <c r="A1302" s="407"/>
      <c r="C1302" s="151"/>
      <c r="D1302" s="444" t="s">
        <v>9</v>
      </c>
      <c r="E1302" s="444"/>
      <c r="F1302" s="444"/>
      <c r="G1302" s="444"/>
      <c r="H1302" s="444"/>
      <c r="I1302" s="29"/>
      <c r="J1302" s="78"/>
      <c r="K1302" s="80">
        <f t="shared" si="87"/>
        <v>0</v>
      </c>
      <c r="L1302" s="80"/>
      <c r="M1302" s="82"/>
    </row>
    <row r="1303" spans="1:12" s="82" customFormat="1" ht="13.5" customHeight="1" hidden="1">
      <c r="A1303" s="407"/>
      <c r="C1303" s="149"/>
      <c r="D1303" s="444" t="s">
        <v>11</v>
      </c>
      <c r="E1303" s="444"/>
      <c r="F1303" s="444"/>
      <c r="G1303" s="444"/>
      <c r="H1303" s="444"/>
      <c r="I1303" s="29"/>
      <c r="J1303" s="80"/>
      <c r="K1303" s="80">
        <f t="shared" si="87"/>
        <v>0</v>
      </c>
      <c r="L1303" s="80"/>
    </row>
    <row r="1304" spans="1:12" s="82" customFormat="1" ht="13.5" customHeight="1" hidden="1">
      <c r="A1304" s="407"/>
      <c r="C1304" s="149"/>
      <c r="D1304" s="444" t="s">
        <v>12</v>
      </c>
      <c r="E1304" s="444"/>
      <c r="F1304" s="444"/>
      <c r="G1304" s="444"/>
      <c r="H1304" s="444"/>
      <c r="I1304" s="29"/>
      <c r="J1304" s="80"/>
      <c r="K1304" s="80">
        <f t="shared" si="87"/>
        <v>0</v>
      </c>
      <c r="L1304" s="80"/>
    </row>
    <row r="1305" spans="1:12" s="82" customFormat="1" ht="13.5" customHeight="1">
      <c r="A1305" s="407"/>
      <c r="C1305" s="149"/>
      <c r="D1305" s="445" t="s">
        <v>277</v>
      </c>
      <c r="E1305" s="445"/>
      <c r="F1305" s="445"/>
      <c r="G1305" s="445"/>
      <c r="H1305" s="445"/>
      <c r="I1305" s="77">
        <f>I1294-I1298</f>
        <v>0</v>
      </c>
      <c r="J1305" s="77">
        <f>J1294-J1298</f>
        <v>0</v>
      </c>
      <c r="K1305" s="77">
        <f>K1294-K1298</f>
        <v>0</v>
      </c>
      <c r="L1305" s="80"/>
    </row>
    <row r="1306" spans="1:12" s="82" customFormat="1" ht="11.25" customHeight="1">
      <c r="A1306" s="407"/>
      <c r="C1306" s="149"/>
      <c r="D1306" s="444" t="s">
        <v>279</v>
      </c>
      <c r="E1306" s="444"/>
      <c r="F1306" s="444"/>
      <c r="G1306" s="444"/>
      <c r="H1306" s="444"/>
      <c r="I1306" s="29">
        <f>I1307+I1308+I1309</f>
        <v>0</v>
      </c>
      <c r="J1306" s="29">
        <f>J1307+J1308+J1309</f>
        <v>0</v>
      </c>
      <c r="K1306" s="29">
        <f>K1307+K1308+K1309</f>
        <v>0</v>
      </c>
      <c r="L1306" s="80"/>
    </row>
    <row r="1307" spans="1:12" s="82" customFormat="1" ht="13.5" customHeight="1" hidden="1">
      <c r="A1307" s="407"/>
      <c r="C1307" s="149"/>
      <c r="D1307" s="444" t="s">
        <v>278</v>
      </c>
      <c r="E1307" s="444"/>
      <c r="F1307" s="444"/>
      <c r="G1307" s="444"/>
      <c r="H1307" s="444"/>
      <c r="I1307" s="29"/>
      <c r="J1307" s="77"/>
      <c r="K1307" s="80">
        <f>SUM(I1307:J1307)</f>
        <v>0</v>
      </c>
      <c r="L1307" s="80"/>
    </row>
    <row r="1308" spans="1:12" s="82" customFormat="1" ht="13.5" customHeight="1" hidden="1">
      <c r="A1308" s="407"/>
      <c r="C1308" s="149"/>
      <c r="D1308" s="444" t="s">
        <v>280</v>
      </c>
      <c r="E1308" s="444"/>
      <c r="F1308" s="444"/>
      <c r="G1308" s="444"/>
      <c r="H1308" s="444"/>
      <c r="I1308" s="29"/>
      <c r="J1308" s="77"/>
      <c r="K1308" s="80">
        <f>SUM(I1308:J1308)</f>
        <v>0</v>
      </c>
      <c r="L1308" s="80"/>
    </row>
    <row r="1309" spans="1:12" s="82" customFormat="1" ht="13.5" customHeight="1" hidden="1">
      <c r="A1309" s="407"/>
      <c r="C1309" s="149"/>
      <c r="D1309" s="444" t="s">
        <v>281</v>
      </c>
      <c r="E1309" s="444"/>
      <c r="F1309" s="444"/>
      <c r="G1309" s="444"/>
      <c r="H1309" s="444"/>
      <c r="I1309" s="29"/>
      <c r="J1309" s="77"/>
      <c r="K1309" s="80">
        <f>SUM(I1309:J1309)</f>
        <v>0</v>
      </c>
      <c r="L1309" s="80"/>
    </row>
    <row r="1310" spans="1:12" s="82" customFormat="1" ht="10.5" customHeight="1" hidden="1">
      <c r="A1310" s="407"/>
      <c r="C1310" s="149"/>
      <c r="D1310" s="81"/>
      <c r="E1310" s="34"/>
      <c r="F1310" s="34"/>
      <c r="G1310" s="34"/>
      <c r="H1310" s="34"/>
      <c r="I1310" s="29"/>
      <c r="J1310" s="80"/>
      <c r="K1310" s="80"/>
      <c r="L1310" s="80"/>
    </row>
    <row r="1311" spans="1:12" s="95" customFormat="1" ht="13.5" customHeight="1" hidden="1">
      <c r="A1311" s="407"/>
      <c r="C1311" s="153" t="s">
        <v>65</v>
      </c>
      <c r="D1311" s="449" t="s">
        <v>203</v>
      </c>
      <c r="E1311" s="449"/>
      <c r="F1311" s="449"/>
      <c r="G1311" s="449"/>
      <c r="H1311" s="449"/>
      <c r="I1311" s="129"/>
      <c r="J1311" s="127"/>
      <c r="K1311" s="127"/>
      <c r="L1311" s="127"/>
    </row>
    <row r="1312" spans="1:12" s="82" customFormat="1" ht="13.5" customHeight="1" hidden="1">
      <c r="A1312" s="407"/>
      <c r="C1312" s="149"/>
      <c r="D1312" s="447" t="s">
        <v>37</v>
      </c>
      <c r="E1312" s="447"/>
      <c r="F1312" s="447"/>
      <c r="G1312" s="447"/>
      <c r="H1312" s="447"/>
      <c r="I1312" s="77">
        <f>SUM(I1313:I1315)</f>
        <v>0</v>
      </c>
      <c r="J1312" s="77">
        <f>SUM(J1313:J1315)</f>
        <v>0</v>
      </c>
      <c r="K1312" s="77">
        <f>SUM(K1313:K1315)</f>
        <v>0</v>
      </c>
      <c r="L1312" s="80"/>
    </row>
    <row r="1313" spans="1:12" s="82" customFormat="1" ht="13.5" customHeight="1" hidden="1">
      <c r="A1313" s="407"/>
      <c r="C1313" s="149"/>
      <c r="D1313" s="446" t="s">
        <v>5</v>
      </c>
      <c r="E1313" s="446"/>
      <c r="F1313" s="446"/>
      <c r="G1313" s="446"/>
      <c r="H1313" s="446"/>
      <c r="I1313" s="29"/>
      <c r="J1313" s="80"/>
      <c r="K1313" s="80">
        <f>SUM(I1313:J1313)</f>
        <v>0</v>
      </c>
      <c r="L1313" s="80"/>
    </row>
    <row r="1314" spans="1:12" s="82" customFormat="1" ht="13.5" customHeight="1" hidden="1">
      <c r="A1314" s="407"/>
      <c r="C1314" s="149"/>
      <c r="D1314" s="446" t="s">
        <v>6</v>
      </c>
      <c r="E1314" s="446"/>
      <c r="F1314" s="446"/>
      <c r="G1314" s="446"/>
      <c r="H1314" s="446"/>
      <c r="I1314" s="29"/>
      <c r="J1314" s="80"/>
      <c r="K1314" s="80">
        <f>SUM(I1314:J1314)</f>
        <v>0</v>
      </c>
      <c r="L1314" s="80"/>
    </row>
    <row r="1315" spans="1:12" s="82" customFormat="1" ht="13.5" customHeight="1" hidden="1">
      <c r="A1315" s="407"/>
      <c r="C1315" s="149"/>
      <c r="D1315" s="446" t="s">
        <v>7</v>
      </c>
      <c r="E1315" s="446"/>
      <c r="F1315" s="446"/>
      <c r="G1315" s="446"/>
      <c r="H1315" s="446"/>
      <c r="I1315" s="29"/>
      <c r="J1315" s="80"/>
      <c r="K1315" s="80">
        <f>SUM(I1315:J1315)</f>
        <v>0</v>
      </c>
      <c r="L1315" s="80"/>
    </row>
    <row r="1316" spans="1:12" s="82" customFormat="1" ht="13.5" customHeight="1" hidden="1">
      <c r="A1316" s="407"/>
      <c r="C1316" s="149"/>
      <c r="D1316" s="447" t="s">
        <v>38</v>
      </c>
      <c r="E1316" s="447"/>
      <c r="F1316" s="447"/>
      <c r="G1316" s="447"/>
      <c r="H1316" s="447"/>
      <c r="I1316" s="254">
        <f>SUM(I1317:I1322)</f>
        <v>0</v>
      </c>
      <c r="J1316" s="254">
        <f>SUM(J1317:J1322)</f>
        <v>0</v>
      </c>
      <c r="K1316" s="254">
        <f>SUM(K1317:K1322)</f>
        <v>0</v>
      </c>
      <c r="L1316" s="80"/>
    </row>
    <row r="1317" spans="1:12" s="82" customFormat="1" ht="13.5" customHeight="1" hidden="1">
      <c r="A1317" s="407"/>
      <c r="C1317" s="149"/>
      <c r="D1317" s="446" t="s">
        <v>289</v>
      </c>
      <c r="E1317" s="446"/>
      <c r="F1317" s="446"/>
      <c r="G1317" s="446"/>
      <c r="H1317" s="446"/>
      <c r="I1317" s="29"/>
      <c r="J1317" s="80"/>
      <c r="K1317" s="80">
        <f aca="true" t="shared" si="88" ref="K1317:K1322">SUM(I1317:J1317)</f>
        <v>0</v>
      </c>
      <c r="L1317" s="80"/>
    </row>
    <row r="1318" spans="1:12" s="82" customFormat="1" ht="13.5" customHeight="1" hidden="1">
      <c r="A1318" s="407"/>
      <c r="C1318" s="151"/>
      <c r="D1318" s="444" t="s">
        <v>8</v>
      </c>
      <c r="E1318" s="448"/>
      <c r="F1318" s="448"/>
      <c r="G1318" s="448"/>
      <c r="H1318" s="448"/>
      <c r="I1318" s="29"/>
      <c r="J1318" s="29"/>
      <c r="K1318" s="80">
        <f t="shared" si="88"/>
        <v>0</v>
      </c>
      <c r="L1318" s="80"/>
    </row>
    <row r="1319" spans="1:12" s="82" customFormat="1" ht="13.5" customHeight="1" hidden="1">
      <c r="A1319" s="407"/>
      <c r="C1319" s="151"/>
      <c r="D1319" s="444" t="s">
        <v>10</v>
      </c>
      <c r="E1319" s="444"/>
      <c r="F1319" s="444"/>
      <c r="G1319" s="444"/>
      <c r="H1319" s="444"/>
      <c r="I1319" s="29"/>
      <c r="J1319" s="80"/>
      <c r="K1319" s="80">
        <f t="shared" si="88"/>
        <v>0</v>
      </c>
      <c r="L1319" s="80"/>
    </row>
    <row r="1320" spans="1:12" s="82" customFormat="1" ht="13.5" customHeight="1" hidden="1">
      <c r="A1320" s="407"/>
      <c r="C1320" s="151"/>
      <c r="D1320" s="444" t="s">
        <v>9</v>
      </c>
      <c r="E1320" s="444"/>
      <c r="F1320" s="444"/>
      <c r="G1320" s="444"/>
      <c r="H1320" s="444"/>
      <c r="I1320" s="29"/>
      <c r="J1320" s="80"/>
      <c r="K1320" s="80">
        <f t="shared" si="88"/>
        <v>0</v>
      </c>
      <c r="L1320" s="80"/>
    </row>
    <row r="1321" spans="1:12" s="82" customFormat="1" ht="13.5" customHeight="1" hidden="1">
      <c r="A1321" s="407"/>
      <c r="C1321" s="151"/>
      <c r="D1321" s="444" t="s">
        <v>11</v>
      </c>
      <c r="E1321" s="444"/>
      <c r="F1321" s="444"/>
      <c r="G1321" s="444"/>
      <c r="H1321" s="444"/>
      <c r="I1321" s="29"/>
      <c r="J1321" s="77"/>
      <c r="K1321" s="80">
        <f t="shared" si="88"/>
        <v>0</v>
      </c>
      <c r="L1321" s="80"/>
    </row>
    <row r="1322" spans="1:12" s="82" customFormat="1" ht="13.5" customHeight="1" hidden="1">
      <c r="A1322" s="407"/>
      <c r="C1322" s="149"/>
      <c r="D1322" s="444" t="s">
        <v>12</v>
      </c>
      <c r="E1322" s="444"/>
      <c r="F1322" s="444"/>
      <c r="G1322" s="444"/>
      <c r="H1322" s="444"/>
      <c r="I1322" s="29"/>
      <c r="J1322" s="80"/>
      <c r="K1322" s="80">
        <f t="shared" si="88"/>
        <v>0</v>
      </c>
      <c r="L1322" s="80"/>
    </row>
    <row r="1323" spans="1:12" s="82" customFormat="1" ht="13.5" customHeight="1" hidden="1">
      <c r="A1323" s="407"/>
      <c r="C1323" s="149"/>
      <c r="D1323" s="445" t="s">
        <v>277</v>
      </c>
      <c r="E1323" s="445"/>
      <c r="F1323" s="445"/>
      <c r="G1323" s="445"/>
      <c r="H1323" s="445"/>
      <c r="I1323" s="77">
        <f>I1312-I1316</f>
        <v>0</v>
      </c>
      <c r="J1323" s="77">
        <f>J1312-J1316</f>
        <v>0</v>
      </c>
      <c r="K1323" s="77">
        <f>K1312-K1316</f>
        <v>0</v>
      </c>
      <c r="L1323" s="80"/>
    </row>
    <row r="1324" spans="1:12" s="82" customFormat="1" ht="13.5" customHeight="1" hidden="1">
      <c r="A1324" s="407"/>
      <c r="C1324" s="149"/>
      <c r="D1324" s="444" t="s">
        <v>279</v>
      </c>
      <c r="E1324" s="444"/>
      <c r="F1324" s="444"/>
      <c r="G1324" s="444"/>
      <c r="H1324" s="444"/>
      <c r="I1324" s="29">
        <f>I1325+I1326+I1327</f>
        <v>0</v>
      </c>
      <c r="J1324" s="29">
        <f>J1325+J1326+J1327</f>
        <v>0</v>
      </c>
      <c r="K1324" s="29">
        <f>K1325+K1326+K1327</f>
        <v>0</v>
      </c>
      <c r="L1324" s="80"/>
    </row>
    <row r="1325" spans="1:12" s="82" customFormat="1" ht="13.5" customHeight="1" hidden="1">
      <c r="A1325" s="407"/>
      <c r="C1325" s="149"/>
      <c r="D1325" s="444" t="s">
        <v>278</v>
      </c>
      <c r="E1325" s="444"/>
      <c r="F1325" s="444"/>
      <c r="G1325" s="444"/>
      <c r="H1325" s="444"/>
      <c r="I1325" s="29"/>
      <c r="J1325" s="77"/>
      <c r="K1325" s="80">
        <f>SUM(I1325:J1325)</f>
        <v>0</v>
      </c>
      <c r="L1325" s="80"/>
    </row>
    <row r="1326" spans="1:12" s="82" customFormat="1" ht="13.5" customHeight="1" hidden="1">
      <c r="A1326" s="407"/>
      <c r="C1326" s="149"/>
      <c r="D1326" s="444" t="s">
        <v>280</v>
      </c>
      <c r="E1326" s="444"/>
      <c r="F1326" s="444"/>
      <c r="G1326" s="444"/>
      <c r="H1326" s="444"/>
      <c r="I1326" s="29"/>
      <c r="J1326" s="77"/>
      <c r="K1326" s="80">
        <f>SUM(I1326:J1326)</f>
        <v>0</v>
      </c>
      <c r="L1326" s="80"/>
    </row>
    <row r="1327" spans="1:12" s="82" customFormat="1" ht="13.5" customHeight="1" hidden="1">
      <c r="A1327" s="407"/>
      <c r="C1327" s="149"/>
      <c r="D1327" s="444" t="s">
        <v>281</v>
      </c>
      <c r="E1327" s="444"/>
      <c r="F1327" s="444"/>
      <c r="G1327" s="444"/>
      <c r="H1327" s="444"/>
      <c r="I1327" s="29"/>
      <c r="J1327" s="77"/>
      <c r="K1327" s="80">
        <f>SUM(I1327:J1327)</f>
        <v>0</v>
      </c>
      <c r="L1327" s="80"/>
    </row>
    <row r="1328" spans="1:12" s="82" customFormat="1" ht="1.5" customHeight="1">
      <c r="A1328" s="407"/>
      <c r="C1328" s="149"/>
      <c r="D1328" s="85"/>
      <c r="E1328" s="85"/>
      <c r="F1328" s="85"/>
      <c r="G1328" s="85"/>
      <c r="H1328" s="85"/>
      <c r="I1328" s="29"/>
      <c r="J1328" s="80"/>
      <c r="K1328" s="80"/>
      <c r="L1328" s="80"/>
    </row>
    <row r="1329" spans="1:12" s="82" customFormat="1" ht="9" customHeight="1">
      <c r="A1329" s="407"/>
      <c r="C1329" s="149"/>
      <c r="D1329" s="81"/>
      <c r="E1329" s="81"/>
      <c r="F1329" s="81"/>
      <c r="G1329" s="81"/>
      <c r="H1329" s="81"/>
      <c r="I1329" s="29"/>
      <c r="J1329" s="80"/>
      <c r="K1329" s="29"/>
      <c r="L1329" s="80"/>
    </row>
    <row r="1330" spans="1:13" s="15" customFormat="1" ht="13.5" customHeight="1">
      <c r="A1330" s="407"/>
      <c r="C1330" s="142" t="s">
        <v>60</v>
      </c>
      <c r="D1330" s="450" t="s">
        <v>68</v>
      </c>
      <c r="E1330" s="450"/>
      <c r="F1330" s="450"/>
      <c r="G1330" s="450"/>
      <c r="H1330" s="450"/>
      <c r="I1330" s="17"/>
      <c r="J1330" s="126"/>
      <c r="K1330" s="126"/>
      <c r="L1330" s="127"/>
      <c r="M1330" s="95"/>
    </row>
    <row r="1331" spans="1:12" s="95" customFormat="1" ht="13.5" customHeight="1">
      <c r="A1331" s="407"/>
      <c r="C1331" s="149"/>
      <c r="D1331" s="447" t="s">
        <v>37</v>
      </c>
      <c r="E1331" s="447"/>
      <c r="F1331" s="447"/>
      <c r="G1331" s="447"/>
      <c r="H1331" s="447"/>
      <c r="I1331" s="77">
        <f>SUM(I1332:I1334)</f>
        <v>704931</v>
      </c>
      <c r="J1331" s="77">
        <f>SUM(J1332:J1334)</f>
        <v>31666</v>
      </c>
      <c r="K1331" s="77">
        <f>SUM(K1332:K1334)</f>
        <v>736597</v>
      </c>
      <c r="L1331" s="127"/>
    </row>
    <row r="1332" spans="1:12" s="95" customFormat="1" ht="13.5" customHeight="1">
      <c r="A1332" s="407"/>
      <c r="C1332" s="149"/>
      <c r="D1332" s="446" t="s">
        <v>5</v>
      </c>
      <c r="E1332" s="446"/>
      <c r="F1332" s="446"/>
      <c r="G1332" s="446"/>
      <c r="H1332" s="446"/>
      <c r="I1332" s="29">
        <f aca="true" t="shared" si="89" ref="I1332:K1334">I1350+I1368+I1386+I1404+I1422</f>
        <v>568451</v>
      </c>
      <c r="J1332" s="29">
        <f t="shared" si="89"/>
        <v>31306</v>
      </c>
      <c r="K1332" s="29">
        <f t="shared" si="89"/>
        <v>599757</v>
      </c>
      <c r="L1332" s="127"/>
    </row>
    <row r="1333" spans="1:12" s="95" customFormat="1" ht="13.5" customHeight="1">
      <c r="A1333" s="407"/>
      <c r="C1333" s="149"/>
      <c r="D1333" s="446" t="s">
        <v>6</v>
      </c>
      <c r="E1333" s="446"/>
      <c r="F1333" s="446"/>
      <c r="G1333" s="446"/>
      <c r="H1333" s="446"/>
      <c r="I1333" s="29">
        <f t="shared" si="89"/>
        <v>136480</v>
      </c>
      <c r="J1333" s="29">
        <f t="shared" si="89"/>
        <v>360</v>
      </c>
      <c r="K1333" s="29">
        <f t="shared" si="89"/>
        <v>136840</v>
      </c>
      <c r="L1333" s="127"/>
    </row>
    <row r="1334" spans="1:12" s="95" customFormat="1" ht="13.5" customHeight="1" hidden="1">
      <c r="A1334" s="407"/>
      <c r="C1334" s="149"/>
      <c r="D1334" s="446" t="s">
        <v>7</v>
      </c>
      <c r="E1334" s="446"/>
      <c r="F1334" s="446"/>
      <c r="G1334" s="446"/>
      <c r="H1334" s="446"/>
      <c r="I1334" s="29">
        <f t="shared" si="89"/>
        <v>0</v>
      </c>
      <c r="J1334" s="29">
        <f t="shared" si="89"/>
        <v>0</v>
      </c>
      <c r="K1334" s="29">
        <f t="shared" si="89"/>
        <v>0</v>
      </c>
      <c r="L1334" s="127"/>
    </row>
    <row r="1335" spans="1:12" s="95" customFormat="1" ht="13.5" customHeight="1">
      <c r="A1335" s="407"/>
      <c r="C1335" s="149"/>
      <c r="D1335" s="447" t="s">
        <v>38</v>
      </c>
      <c r="E1335" s="447"/>
      <c r="F1335" s="447"/>
      <c r="G1335" s="447"/>
      <c r="H1335" s="447"/>
      <c r="I1335" s="253">
        <f>SUM(I1336:I1341)</f>
        <v>711071</v>
      </c>
      <c r="J1335" s="253">
        <f>SUM(J1336:J1341)</f>
        <v>31666</v>
      </c>
      <c r="K1335" s="253">
        <f>SUM(K1336:K1341)</f>
        <v>742737</v>
      </c>
      <c r="L1335" s="127"/>
    </row>
    <row r="1336" spans="1:12" s="95" customFormat="1" ht="13.5" customHeight="1">
      <c r="A1336" s="407"/>
      <c r="C1336" s="149"/>
      <c r="D1336" s="446" t="s">
        <v>289</v>
      </c>
      <c r="E1336" s="446"/>
      <c r="F1336" s="446"/>
      <c r="G1336" s="446"/>
      <c r="H1336" s="446"/>
      <c r="I1336" s="29">
        <f aca="true" t="shared" si="90" ref="I1336:K1340">I1354+I1372+I1390+I1408+I1426</f>
        <v>353856</v>
      </c>
      <c r="J1336" s="29">
        <f t="shared" si="90"/>
        <v>28827</v>
      </c>
      <c r="K1336" s="29">
        <f t="shared" si="90"/>
        <v>382683</v>
      </c>
      <c r="L1336" s="127"/>
    </row>
    <row r="1337" spans="1:13" s="79" customFormat="1" ht="12.75" customHeight="1">
      <c r="A1337" s="407"/>
      <c r="C1337" s="151"/>
      <c r="D1337" s="444" t="s">
        <v>8</v>
      </c>
      <c r="E1337" s="448"/>
      <c r="F1337" s="448"/>
      <c r="G1337" s="448"/>
      <c r="H1337" s="448"/>
      <c r="I1337" s="29">
        <f t="shared" si="90"/>
        <v>221728</v>
      </c>
      <c r="J1337" s="29">
        <f t="shared" si="90"/>
        <v>-1338</v>
      </c>
      <c r="K1337" s="29">
        <f t="shared" si="90"/>
        <v>220390</v>
      </c>
      <c r="L1337" s="80"/>
      <c r="M1337" s="82"/>
    </row>
    <row r="1338" spans="1:12" s="82" customFormat="1" ht="13.5" customHeight="1" hidden="1">
      <c r="A1338" s="407"/>
      <c r="C1338" s="149"/>
      <c r="D1338" s="444" t="s">
        <v>10</v>
      </c>
      <c r="E1338" s="444"/>
      <c r="F1338" s="444"/>
      <c r="G1338" s="444"/>
      <c r="H1338" s="444"/>
      <c r="I1338" s="29">
        <f t="shared" si="90"/>
        <v>0</v>
      </c>
      <c r="J1338" s="29">
        <f t="shared" si="90"/>
        <v>0</v>
      </c>
      <c r="K1338" s="29">
        <f t="shared" si="90"/>
        <v>0</v>
      </c>
      <c r="L1338" s="80"/>
    </row>
    <row r="1339" spans="1:12" s="82" customFormat="1" ht="13.5" customHeight="1" hidden="1">
      <c r="A1339" s="407"/>
      <c r="C1339" s="149"/>
      <c r="D1339" s="444" t="s">
        <v>9</v>
      </c>
      <c r="E1339" s="444"/>
      <c r="F1339" s="444"/>
      <c r="G1339" s="444"/>
      <c r="H1339" s="444"/>
      <c r="I1339" s="29">
        <f t="shared" si="90"/>
        <v>0</v>
      </c>
      <c r="J1339" s="29">
        <f t="shared" si="90"/>
        <v>0</v>
      </c>
      <c r="K1339" s="29">
        <f t="shared" si="90"/>
        <v>0</v>
      </c>
      <c r="L1339" s="80"/>
    </row>
    <row r="1340" spans="1:12" s="82" customFormat="1" ht="13.5" customHeight="1">
      <c r="A1340" s="407"/>
      <c r="C1340" s="149"/>
      <c r="D1340" s="444" t="s">
        <v>11</v>
      </c>
      <c r="E1340" s="444"/>
      <c r="F1340" s="444"/>
      <c r="G1340" s="444"/>
      <c r="H1340" s="444"/>
      <c r="I1340" s="29">
        <f t="shared" si="90"/>
        <v>135487</v>
      </c>
      <c r="J1340" s="29">
        <f t="shared" si="90"/>
        <v>4177</v>
      </c>
      <c r="K1340" s="29">
        <f t="shared" si="90"/>
        <v>139664</v>
      </c>
      <c r="L1340" s="80"/>
    </row>
    <row r="1341" spans="1:13" s="79" customFormat="1" ht="13.5" customHeight="1" hidden="1">
      <c r="A1341" s="407"/>
      <c r="C1341" s="151"/>
      <c r="D1341" s="444" t="s">
        <v>12</v>
      </c>
      <c r="E1341" s="444"/>
      <c r="F1341" s="444"/>
      <c r="G1341" s="444"/>
      <c r="H1341" s="444"/>
      <c r="I1341" s="29">
        <f>I1359+I1377+I1395+I1413+I1437</f>
        <v>0</v>
      </c>
      <c r="J1341" s="29">
        <f>J1359+J1377+J1395+J1413+J1437</f>
        <v>0</v>
      </c>
      <c r="K1341" s="29">
        <f>K1359+K1377+K1395+K1413+K1437</f>
        <v>0</v>
      </c>
      <c r="L1341" s="80"/>
      <c r="M1341" s="82"/>
    </row>
    <row r="1342" spans="1:13" s="79" customFormat="1" ht="13.5" customHeight="1">
      <c r="A1342" s="407"/>
      <c r="C1342" s="151"/>
      <c r="D1342" s="445" t="s">
        <v>277</v>
      </c>
      <c r="E1342" s="445"/>
      <c r="F1342" s="445"/>
      <c r="G1342" s="445"/>
      <c r="H1342" s="445"/>
      <c r="I1342" s="77">
        <f>I1331-I1335</f>
        <v>-6140</v>
      </c>
      <c r="J1342" s="77">
        <f>J1331-J1335</f>
        <v>0</v>
      </c>
      <c r="K1342" s="77">
        <f>K1331-K1335</f>
        <v>-6140</v>
      </c>
      <c r="L1342" s="80"/>
      <c r="M1342" s="82"/>
    </row>
    <row r="1343" spans="1:13" s="79" customFormat="1" ht="13.5" customHeight="1">
      <c r="A1343" s="407"/>
      <c r="C1343" s="151"/>
      <c r="D1343" s="444" t="s">
        <v>279</v>
      </c>
      <c r="E1343" s="444"/>
      <c r="F1343" s="444"/>
      <c r="G1343" s="444"/>
      <c r="H1343" s="444"/>
      <c r="I1343" s="29">
        <f>I1344+I1345+I1346</f>
        <v>6140</v>
      </c>
      <c r="J1343" s="29">
        <f>J1344+J1345+J1346</f>
        <v>0</v>
      </c>
      <c r="K1343" s="29">
        <f>K1344+K1345+K1346</f>
        <v>6140</v>
      </c>
      <c r="L1343" s="80"/>
      <c r="M1343" s="82"/>
    </row>
    <row r="1344" spans="1:13" s="79" customFormat="1" ht="12.75" customHeight="1">
      <c r="A1344" s="407"/>
      <c r="C1344" s="151"/>
      <c r="D1344" s="444" t="s">
        <v>278</v>
      </c>
      <c r="E1344" s="444"/>
      <c r="F1344" s="444"/>
      <c r="G1344" s="444"/>
      <c r="H1344" s="444"/>
      <c r="I1344" s="29">
        <f aca="true" t="shared" si="91" ref="I1344:K1346">I1362+I1380+I1398+I1416+I1433</f>
        <v>6140</v>
      </c>
      <c r="J1344" s="29">
        <f t="shared" si="91"/>
        <v>0</v>
      </c>
      <c r="K1344" s="29">
        <f t="shared" si="91"/>
        <v>6140</v>
      </c>
      <c r="L1344" s="80"/>
      <c r="M1344" s="82"/>
    </row>
    <row r="1345" spans="1:13" s="79" customFormat="1" ht="13.5" customHeight="1" hidden="1">
      <c r="A1345" s="407"/>
      <c r="C1345" s="151"/>
      <c r="D1345" s="444" t="s">
        <v>280</v>
      </c>
      <c r="E1345" s="444"/>
      <c r="F1345" s="444"/>
      <c r="G1345" s="444"/>
      <c r="H1345" s="444"/>
      <c r="I1345" s="29">
        <f t="shared" si="91"/>
        <v>0</v>
      </c>
      <c r="J1345" s="29">
        <f t="shared" si="91"/>
        <v>0</v>
      </c>
      <c r="K1345" s="29">
        <f t="shared" si="91"/>
        <v>0</v>
      </c>
      <c r="L1345" s="80"/>
      <c r="M1345" s="82"/>
    </row>
    <row r="1346" spans="1:13" s="79" customFormat="1" ht="13.5" customHeight="1" hidden="1">
      <c r="A1346" s="407"/>
      <c r="C1346" s="151"/>
      <c r="D1346" s="444" t="s">
        <v>281</v>
      </c>
      <c r="E1346" s="444"/>
      <c r="F1346" s="444"/>
      <c r="G1346" s="444"/>
      <c r="H1346" s="444"/>
      <c r="I1346" s="29">
        <f t="shared" si="91"/>
        <v>0</v>
      </c>
      <c r="J1346" s="29">
        <f t="shared" si="91"/>
        <v>0</v>
      </c>
      <c r="K1346" s="29">
        <f t="shared" si="91"/>
        <v>0</v>
      </c>
      <c r="L1346" s="80"/>
      <c r="M1346" s="82"/>
    </row>
    <row r="1347" spans="1:12" s="82" customFormat="1" ht="9.75" customHeight="1">
      <c r="A1347" s="407"/>
      <c r="C1347" s="149"/>
      <c r="D1347" s="81"/>
      <c r="E1347" s="81"/>
      <c r="F1347" s="81"/>
      <c r="G1347" s="81"/>
      <c r="H1347" s="81"/>
      <c r="I1347" s="29"/>
      <c r="J1347" s="80"/>
      <c r="K1347" s="80"/>
      <c r="L1347" s="80"/>
    </row>
    <row r="1348" spans="1:12" s="95" customFormat="1" ht="11.25" customHeight="1">
      <c r="A1348" s="407"/>
      <c r="C1348" s="153" t="s">
        <v>69</v>
      </c>
      <c r="D1348" s="449" t="s">
        <v>68</v>
      </c>
      <c r="E1348" s="449"/>
      <c r="F1348" s="449"/>
      <c r="G1348" s="449"/>
      <c r="H1348" s="449"/>
      <c r="I1348" s="129"/>
      <c r="J1348" s="127"/>
      <c r="K1348" s="127"/>
      <c r="L1348" s="127"/>
    </row>
    <row r="1349" spans="1:12" s="82" customFormat="1" ht="11.25" customHeight="1">
      <c r="A1349" s="407"/>
      <c r="C1349" s="149"/>
      <c r="D1349" s="447" t="s">
        <v>37</v>
      </c>
      <c r="E1349" s="447"/>
      <c r="F1349" s="447"/>
      <c r="G1349" s="447"/>
      <c r="H1349" s="447"/>
      <c r="I1349" s="77">
        <f>SUM(I1350:I1352)</f>
        <v>636532</v>
      </c>
      <c r="J1349" s="77">
        <f>SUM(J1350:J1352)</f>
        <v>24415</v>
      </c>
      <c r="K1349" s="77">
        <f>SUM(K1350:K1352)</f>
        <v>660947</v>
      </c>
      <c r="L1349" s="80"/>
    </row>
    <row r="1350" spans="1:12" s="82" customFormat="1" ht="11.25" customHeight="1">
      <c r="A1350" s="407"/>
      <c r="C1350" s="149"/>
      <c r="D1350" s="446" t="s">
        <v>5</v>
      </c>
      <c r="E1350" s="446"/>
      <c r="F1350" s="446"/>
      <c r="G1350" s="446"/>
      <c r="H1350" s="446"/>
      <c r="I1350" s="29">
        <f>377569+122483</f>
        <v>500052</v>
      </c>
      <c r="J1350" s="80">
        <f>4272+20143</f>
        <v>24415</v>
      </c>
      <c r="K1350" s="80">
        <f>SUM(I1350:J1350)</f>
        <v>524467</v>
      </c>
      <c r="L1350" s="80"/>
    </row>
    <row r="1351" spans="1:12" s="82" customFormat="1" ht="12.75" customHeight="1">
      <c r="A1351" s="407"/>
      <c r="C1351" s="149"/>
      <c r="D1351" s="446" t="s">
        <v>6</v>
      </c>
      <c r="E1351" s="446"/>
      <c r="F1351" s="446"/>
      <c r="G1351" s="446"/>
      <c r="H1351" s="446"/>
      <c r="I1351" s="29">
        <v>136480</v>
      </c>
      <c r="J1351" s="80"/>
      <c r="K1351" s="80">
        <f>SUM(I1351:J1351)</f>
        <v>136480</v>
      </c>
      <c r="L1351" s="80"/>
    </row>
    <row r="1352" spans="1:12" s="82" customFormat="1" ht="13.5" customHeight="1" hidden="1">
      <c r="A1352" s="407"/>
      <c r="C1352" s="149"/>
      <c r="D1352" s="446" t="s">
        <v>7</v>
      </c>
      <c r="E1352" s="446"/>
      <c r="F1352" s="446"/>
      <c r="G1352" s="446"/>
      <c r="H1352" s="446"/>
      <c r="I1352" s="29"/>
      <c r="J1352" s="80"/>
      <c r="K1352" s="80">
        <f>SUM(I1352:J1352)</f>
        <v>0</v>
      </c>
      <c r="L1352" s="80"/>
    </row>
    <row r="1353" spans="1:12" s="82" customFormat="1" ht="13.5" customHeight="1">
      <c r="A1353" s="407"/>
      <c r="C1353" s="149"/>
      <c r="D1353" s="447" t="s">
        <v>38</v>
      </c>
      <c r="E1353" s="447"/>
      <c r="F1353" s="447"/>
      <c r="G1353" s="447"/>
      <c r="H1353" s="447"/>
      <c r="I1353" s="254">
        <f>SUM(I1354:I1359)</f>
        <v>642672</v>
      </c>
      <c r="J1353" s="254">
        <f>SUM(J1354:J1359)</f>
        <v>24415</v>
      </c>
      <c r="K1353" s="254">
        <f>SUM(K1354:K1359)</f>
        <v>667087</v>
      </c>
      <c r="L1353" s="80"/>
    </row>
    <row r="1354" spans="1:12" s="82" customFormat="1" ht="12" customHeight="1">
      <c r="A1354" s="407"/>
      <c r="C1354" s="149"/>
      <c r="D1354" s="446" t="s">
        <v>289</v>
      </c>
      <c r="E1354" s="446"/>
      <c r="F1354" s="446"/>
      <c r="G1354" s="446"/>
      <c r="H1354" s="446"/>
      <c r="I1354" s="29">
        <f>257724+32933</f>
        <v>290657</v>
      </c>
      <c r="J1354" s="80">
        <f>-4146+21450+4272</f>
        <v>21576</v>
      </c>
      <c r="K1354" s="80">
        <f aca="true" t="shared" si="92" ref="K1354:K1359">SUM(I1354:J1354)</f>
        <v>312233</v>
      </c>
      <c r="L1354" s="80"/>
    </row>
    <row r="1355" spans="1:13" s="79" customFormat="1" ht="12" customHeight="1">
      <c r="A1355" s="407"/>
      <c r="C1355" s="151"/>
      <c r="D1355" s="444" t="s">
        <v>8</v>
      </c>
      <c r="E1355" s="448"/>
      <c r="F1355" s="448"/>
      <c r="G1355" s="448"/>
      <c r="H1355" s="448"/>
      <c r="I1355" s="29">
        <f>70345+105037+46146</f>
        <v>221528</v>
      </c>
      <c r="J1355" s="29">
        <v>-1338</v>
      </c>
      <c r="K1355" s="80">
        <f t="shared" si="92"/>
        <v>220190</v>
      </c>
      <c r="L1355" s="80"/>
      <c r="M1355" s="82"/>
    </row>
    <row r="1356" spans="1:13" s="79" customFormat="1" ht="13.5" customHeight="1" hidden="1">
      <c r="A1356" s="407"/>
      <c r="C1356" s="151"/>
      <c r="D1356" s="444" t="s">
        <v>10</v>
      </c>
      <c r="E1356" s="444"/>
      <c r="F1356" s="444"/>
      <c r="G1356" s="444"/>
      <c r="H1356" s="444"/>
      <c r="I1356" s="29"/>
      <c r="J1356" s="80"/>
      <c r="K1356" s="80">
        <f t="shared" si="92"/>
        <v>0</v>
      </c>
      <c r="L1356" s="80"/>
      <c r="M1356" s="82"/>
    </row>
    <row r="1357" spans="1:12" s="82" customFormat="1" ht="13.5" customHeight="1" hidden="1">
      <c r="A1357" s="407"/>
      <c r="C1357" s="149"/>
      <c r="D1357" s="444" t="s">
        <v>9</v>
      </c>
      <c r="E1357" s="444"/>
      <c r="F1357" s="444"/>
      <c r="G1357" s="444"/>
      <c r="H1357" s="444"/>
      <c r="I1357" s="29"/>
      <c r="J1357" s="80"/>
      <c r="K1357" s="80">
        <f t="shared" si="92"/>
        <v>0</v>
      </c>
      <c r="L1357" s="80"/>
    </row>
    <row r="1358" spans="1:12" s="82" customFormat="1" ht="12.75" customHeight="1">
      <c r="A1358" s="407"/>
      <c r="C1358" s="149"/>
      <c r="D1358" s="444" t="s">
        <v>11</v>
      </c>
      <c r="E1358" s="444"/>
      <c r="F1358" s="444"/>
      <c r="G1358" s="444"/>
      <c r="H1358" s="444"/>
      <c r="I1358" s="29">
        <f>49500+4650+76337</f>
        <v>130487</v>
      </c>
      <c r="J1358" s="80">
        <f>4146+31</f>
        <v>4177</v>
      </c>
      <c r="K1358" s="80">
        <f t="shared" si="92"/>
        <v>134664</v>
      </c>
      <c r="L1358" s="80"/>
    </row>
    <row r="1359" spans="1:13" s="79" customFormat="1" ht="13.5" customHeight="1" hidden="1">
      <c r="A1359" s="407"/>
      <c r="C1359" s="151"/>
      <c r="D1359" s="444" t="s">
        <v>12</v>
      </c>
      <c r="E1359" s="444"/>
      <c r="F1359" s="444"/>
      <c r="G1359" s="444"/>
      <c r="H1359" s="444"/>
      <c r="I1359" s="29"/>
      <c r="J1359" s="77"/>
      <c r="K1359" s="80">
        <f t="shared" si="92"/>
        <v>0</v>
      </c>
      <c r="L1359" s="80"/>
      <c r="M1359" s="82"/>
    </row>
    <row r="1360" spans="1:13" s="79" customFormat="1" ht="13.5" customHeight="1">
      <c r="A1360" s="407"/>
      <c r="C1360" s="151"/>
      <c r="D1360" s="445" t="s">
        <v>277</v>
      </c>
      <c r="E1360" s="445"/>
      <c r="F1360" s="445"/>
      <c r="G1360" s="445"/>
      <c r="H1360" s="445"/>
      <c r="I1360" s="77">
        <f>I1349-I1353</f>
        <v>-6140</v>
      </c>
      <c r="J1360" s="77">
        <f>J1349-J1353</f>
        <v>0</v>
      </c>
      <c r="K1360" s="77">
        <f>K1349-K1353</f>
        <v>-6140</v>
      </c>
      <c r="L1360" s="80"/>
      <c r="M1360" s="82"/>
    </row>
    <row r="1361" spans="1:13" s="79" customFormat="1" ht="13.5" customHeight="1">
      <c r="A1361" s="407"/>
      <c r="C1361" s="151"/>
      <c r="D1361" s="444" t="s">
        <v>279</v>
      </c>
      <c r="E1361" s="444"/>
      <c r="F1361" s="444"/>
      <c r="G1361" s="444"/>
      <c r="H1361" s="444"/>
      <c r="I1361" s="29">
        <f>I1362+I1363+I1364</f>
        <v>6140</v>
      </c>
      <c r="J1361" s="29">
        <f>J1362+J1363+J1364</f>
        <v>0</v>
      </c>
      <c r="K1361" s="29">
        <f>K1362+K1363+K1364</f>
        <v>6140</v>
      </c>
      <c r="L1361" s="80"/>
      <c r="M1361" s="82"/>
    </row>
    <row r="1362" spans="1:13" s="79" customFormat="1" ht="12.75" customHeight="1">
      <c r="A1362" s="407"/>
      <c r="C1362" s="151"/>
      <c r="D1362" s="444" t="s">
        <v>278</v>
      </c>
      <c r="E1362" s="444"/>
      <c r="F1362" s="444"/>
      <c r="G1362" s="444"/>
      <c r="H1362" s="444"/>
      <c r="I1362" s="29">
        <v>6140</v>
      </c>
      <c r="J1362" s="77"/>
      <c r="K1362" s="80">
        <f>SUM(I1362:J1362)</f>
        <v>6140</v>
      </c>
      <c r="L1362" s="80"/>
      <c r="M1362" s="82"/>
    </row>
    <row r="1363" spans="1:13" s="79" customFormat="1" ht="13.5" customHeight="1" hidden="1">
      <c r="A1363" s="407"/>
      <c r="C1363" s="151"/>
      <c r="D1363" s="444" t="s">
        <v>280</v>
      </c>
      <c r="E1363" s="444"/>
      <c r="F1363" s="444"/>
      <c r="G1363" s="444"/>
      <c r="H1363" s="444"/>
      <c r="I1363" s="29"/>
      <c r="J1363" s="77"/>
      <c r="K1363" s="80">
        <f>SUM(I1363:J1363)</f>
        <v>0</v>
      </c>
      <c r="L1363" s="80"/>
      <c r="M1363" s="82"/>
    </row>
    <row r="1364" spans="1:13" s="79" customFormat="1" ht="13.5" customHeight="1" hidden="1">
      <c r="A1364" s="407"/>
      <c r="C1364" s="151"/>
      <c r="D1364" s="444" t="s">
        <v>281</v>
      </c>
      <c r="E1364" s="444"/>
      <c r="F1364" s="444"/>
      <c r="G1364" s="444"/>
      <c r="H1364" s="444"/>
      <c r="I1364" s="29"/>
      <c r="J1364" s="77"/>
      <c r="K1364" s="80">
        <f>SUM(I1364:J1364)</f>
        <v>0</v>
      </c>
      <c r="L1364" s="80"/>
      <c r="M1364" s="82"/>
    </row>
    <row r="1365" spans="1:12" s="82" customFormat="1" ht="6.75" customHeight="1">
      <c r="A1365" s="407"/>
      <c r="C1365" s="149"/>
      <c r="D1365" s="81"/>
      <c r="E1365" s="81"/>
      <c r="F1365" s="81"/>
      <c r="G1365" s="81"/>
      <c r="H1365" s="81"/>
      <c r="I1365" s="29"/>
      <c r="J1365" s="80"/>
      <c r="K1365" s="29"/>
      <c r="L1365" s="80"/>
    </row>
    <row r="1366" spans="1:12" s="132" customFormat="1" ht="21.75" customHeight="1">
      <c r="A1366" s="411"/>
      <c r="C1366" s="135" t="s">
        <v>108</v>
      </c>
      <c r="D1366" s="436" t="s">
        <v>64</v>
      </c>
      <c r="E1366" s="436"/>
      <c r="F1366" s="436"/>
      <c r="G1366" s="436"/>
      <c r="H1366" s="436"/>
      <c r="I1366" s="136"/>
      <c r="J1366" s="131"/>
      <c r="K1366" s="131"/>
      <c r="L1366" s="131"/>
    </row>
    <row r="1367" spans="1:13" s="79" customFormat="1" ht="12" customHeight="1">
      <c r="A1367" s="407"/>
      <c r="C1367" s="151"/>
      <c r="D1367" s="447" t="s">
        <v>37</v>
      </c>
      <c r="E1367" s="447"/>
      <c r="F1367" s="447"/>
      <c r="G1367" s="447"/>
      <c r="H1367" s="447"/>
      <c r="I1367" s="77">
        <f>SUM(I1368:I1370)</f>
        <v>68399</v>
      </c>
      <c r="J1367" s="77">
        <f>SUM(J1368:J1370)</f>
        <v>6891</v>
      </c>
      <c r="K1367" s="77">
        <f>SUM(K1368:K1370)</f>
        <v>75290</v>
      </c>
      <c r="L1367" s="80"/>
      <c r="M1367" s="82"/>
    </row>
    <row r="1368" spans="1:13" s="79" customFormat="1" ht="13.5" customHeight="1">
      <c r="A1368" s="407"/>
      <c r="C1368" s="151"/>
      <c r="D1368" s="446" t="s">
        <v>5</v>
      </c>
      <c r="E1368" s="446"/>
      <c r="F1368" s="446"/>
      <c r="G1368" s="446"/>
      <c r="H1368" s="446"/>
      <c r="I1368" s="29">
        <f>65235+3164</f>
        <v>68399</v>
      </c>
      <c r="J1368" s="80">
        <f>5690+1201</f>
        <v>6891</v>
      </c>
      <c r="K1368" s="29">
        <f>SUM(I1368:J1368)</f>
        <v>75290</v>
      </c>
      <c r="L1368" s="80"/>
      <c r="M1368" s="82"/>
    </row>
    <row r="1369" spans="1:13" s="79" customFormat="1" ht="13.5" customHeight="1" hidden="1">
      <c r="A1369" s="407"/>
      <c r="C1369" s="151"/>
      <c r="D1369" s="446" t="s">
        <v>6</v>
      </c>
      <c r="E1369" s="446"/>
      <c r="F1369" s="446"/>
      <c r="G1369" s="446"/>
      <c r="H1369" s="446"/>
      <c r="I1369" s="29"/>
      <c r="J1369" s="78"/>
      <c r="K1369" s="29">
        <f>SUM(I1369:J1369)</f>
        <v>0</v>
      </c>
      <c r="L1369" s="80"/>
      <c r="M1369" s="82"/>
    </row>
    <row r="1370" spans="1:13" s="79" customFormat="1" ht="13.5" customHeight="1" hidden="1">
      <c r="A1370" s="407"/>
      <c r="C1370" s="151"/>
      <c r="D1370" s="446" t="s">
        <v>7</v>
      </c>
      <c r="E1370" s="446"/>
      <c r="F1370" s="446"/>
      <c r="G1370" s="446"/>
      <c r="H1370" s="446"/>
      <c r="I1370" s="29"/>
      <c r="J1370" s="78"/>
      <c r="K1370" s="29">
        <f>SUM(I1370:J1370)</f>
        <v>0</v>
      </c>
      <c r="L1370" s="80"/>
      <c r="M1370" s="82"/>
    </row>
    <row r="1371" spans="1:13" s="79" customFormat="1" ht="12" customHeight="1">
      <c r="A1371" s="407"/>
      <c r="C1371" s="151"/>
      <c r="D1371" s="447" t="s">
        <v>38</v>
      </c>
      <c r="E1371" s="447"/>
      <c r="F1371" s="447"/>
      <c r="G1371" s="447"/>
      <c r="H1371" s="447"/>
      <c r="I1371" s="254">
        <f>SUM(I1372:I1377)</f>
        <v>68399</v>
      </c>
      <c r="J1371" s="254">
        <f>SUM(J1372:J1377)</f>
        <v>6891</v>
      </c>
      <c r="K1371" s="254">
        <f>SUM(K1372:K1377)</f>
        <v>75290</v>
      </c>
      <c r="L1371" s="80"/>
      <c r="M1371" s="82"/>
    </row>
    <row r="1372" spans="1:13" s="79" customFormat="1" ht="13.5" customHeight="1">
      <c r="A1372" s="407"/>
      <c r="C1372" s="151"/>
      <c r="D1372" s="446" t="s">
        <v>289</v>
      </c>
      <c r="E1372" s="446"/>
      <c r="F1372" s="446"/>
      <c r="G1372" s="446"/>
      <c r="H1372" s="446"/>
      <c r="I1372" s="29">
        <f>60035+3164</f>
        <v>63199</v>
      </c>
      <c r="J1372" s="80">
        <f>1201+5690</f>
        <v>6891</v>
      </c>
      <c r="K1372" s="29">
        <f aca="true" t="shared" si="93" ref="K1372:K1377">SUM(I1372:J1372)</f>
        <v>70090</v>
      </c>
      <c r="L1372" s="80"/>
      <c r="M1372" s="82"/>
    </row>
    <row r="1373" spans="1:12" s="82" customFormat="1" ht="12.75" customHeight="1">
      <c r="A1373" s="407"/>
      <c r="C1373" s="149"/>
      <c r="D1373" s="444" t="s">
        <v>8</v>
      </c>
      <c r="E1373" s="448"/>
      <c r="F1373" s="448"/>
      <c r="G1373" s="448"/>
      <c r="H1373" s="448"/>
      <c r="I1373" s="29">
        <v>200</v>
      </c>
      <c r="J1373" s="80"/>
      <c r="K1373" s="29">
        <f t="shared" si="93"/>
        <v>200</v>
      </c>
      <c r="L1373" s="80"/>
    </row>
    <row r="1374" spans="1:13" s="79" customFormat="1" ht="13.5" customHeight="1" hidden="1">
      <c r="A1374" s="407"/>
      <c r="C1374" s="151"/>
      <c r="D1374" s="444" t="s">
        <v>10</v>
      </c>
      <c r="E1374" s="444"/>
      <c r="F1374" s="444"/>
      <c r="G1374" s="444"/>
      <c r="H1374" s="444"/>
      <c r="I1374" s="29"/>
      <c r="J1374" s="78"/>
      <c r="K1374" s="29">
        <f t="shared" si="93"/>
        <v>0</v>
      </c>
      <c r="L1374" s="80"/>
      <c r="M1374" s="82"/>
    </row>
    <row r="1375" spans="1:12" s="82" customFormat="1" ht="13.5" customHeight="1" hidden="1">
      <c r="A1375" s="407"/>
      <c r="C1375" s="149"/>
      <c r="D1375" s="444" t="s">
        <v>9</v>
      </c>
      <c r="E1375" s="444"/>
      <c r="F1375" s="444"/>
      <c r="G1375" s="444"/>
      <c r="H1375" s="444"/>
      <c r="I1375" s="29"/>
      <c r="J1375" s="80"/>
      <c r="K1375" s="29">
        <f t="shared" si="93"/>
        <v>0</v>
      </c>
      <c r="L1375" s="80"/>
    </row>
    <row r="1376" spans="1:12" s="33" customFormat="1" ht="12.75" customHeight="1">
      <c r="A1376" s="410"/>
      <c r="C1376" s="152"/>
      <c r="D1376" s="444" t="s">
        <v>11</v>
      </c>
      <c r="E1376" s="444"/>
      <c r="F1376" s="444"/>
      <c r="G1376" s="444"/>
      <c r="H1376" s="444"/>
      <c r="I1376" s="29">
        <v>5000</v>
      </c>
      <c r="J1376" s="80"/>
      <c r="K1376" s="29">
        <f t="shared" si="93"/>
        <v>5000</v>
      </c>
      <c r="L1376" s="175"/>
    </row>
    <row r="1377" spans="1:12" s="82" customFormat="1" ht="13.5" customHeight="1" hidden="1">
      <c r="A1377" s="407"/>
      <c r="C1377" s="149"/>
      <c r="D1377" s="444" t="s">
        <v>12</v>
      </c>
      <c r="E1377" s="444"/>
      <c r="F1377" s="444"/>
      <c r="G1377" s="444"/>
      <c r="H1377" s="444"/>
      <c r="I1377" s="29"/>
      <c r="J1377" s="80"/>
      <c r="K1377" s="29">
        <f t="shared" si="93"/>
        <v>0</v>
      </c>
      <c r="L1377" s="80"/>
    </row>
    <row r="1378" spans="1:12" s="82" customFormat="1" ht="13.5" customHeight="1">
      <c r="A1378" s="407"/>
      <c r="C1378" s="149"/>
      <c r="D1378" s="445" t="s">
        <v>277</v>
      </c>
      <c r="E1378" s="445"/>
      <c r="F1378" s="445"/>
      <c r="G1378" s="445"/>
      <c r="H1378" s="445"/>
      <c r="I1378" s="77">
        <f>I1367-I1371</f>
        <v>0</v>
      </c>
      <c r="J1378" s="77">
        <f>J1367-J1371</f>
        <v>0</v>
      </c>
      <c r="K1378" s="77">
        <f>K1367-K1371</f>
        <v>0</v>
      </c>
      <c r="L1378" s="80"/>
    </row>
    <row r="1379" spans="1:12" s="82" customFormat="1" ht="13.5" customHeight="1">
      <c r="A1379" s="407"/>
      <c r="C1379" s="149"/>
      <c r="D1379" s="444" t="s">
        <v>279</v>
      </c>
      <c r="E1379" s="444"/>
      <c r="F1379" s="444"/>
      <c r="G1379" s="444"/>
      <c r="H1379" s="444"/>
      <c r="I1379" s="29">
        <f>I1380+I1381+I1382</f>
        <v>0</v>
      </c>
      <c r="J1379" s="29">
        <f>J1380+J1381+J1382</f>
        <v>0</v>
      </c>
      <c r="K1379" s="29">
        <f>K1380+K1381+K1382</f>
        <v>0</v>
      </c>
      <c r="L1379" s="80"/>
    </row>
    <row r="1380" spans="1:12" s="82" customFormat="1" ht="0.75" customHeight="1" hidden="1">
      <c r="A1380" s="407"/>
      <c r="C1380" s="149"/>
      <c r="D1380" s="444" t="s">
        <v>278</v>
      </c>
      <c r="E1380" s="444"/>
      <c r="F1380" s="444"/>
      <c r="G1380" s="444"/>
      <c r="H1380" s="444"/>
      <c r="I1380" s="29"/>
      <c r="J1380" s="77"/>
      <c r="K1380" s="80">
        <f>SUM(I1380:J1380)</f>
        <v>0</v>
      </c>
      <c r="L1380" s="80"/>
    </row>
    <row r="1381" spans="1:12" s="82" customFormat="1" ht="14.25" customHeight="1" hidden="1">
      <c r="A1381" s="407"/>
      <c r="C1381" s="149"/>
      <c r="D1381" s="444" t="s">
        <v>280</v>
      </c>
      <c r="E1381" s="444"/>
      <c r="F1381" s="444"/>
      <c r="G1381" s="444"/>
      <c r="H1381" s="444"/>
      <c r="I1381" s="29"/>
      <c r="J1381" s="77"/>
      <c r="K1381" s="80">
        <f>SUM(I1381:J1381)</f>
        <v>0</v>
      </c>
      <c r="L1381" s="80"/>
    </row>
    <row r="1382" spans="1:12" s="82" customFormat="1" ht="14.25" customHeight="1" hidden="1">
      <c r="A1382" s="407"/>
      <c r="C1382" s="149"/>
      <c r="D1382" s="444" t="s">
        <v>281</v>
      </c>
      <c r="E1382" s="444"/>
      <c r="F1382" s="444"/>
      <c r="G1382" s="444"/>
      <c r="H1382" s="444"/>
      <c r="I1382" s="29"/>
      <c r="J1382" s="77"/>
      <c r="K1382" s="80">
        <f>SUM(I1382:J1382)</f>
        <v>0</v>
      </c>
      <c r="L1382" s="80"/>
    </row>
    <row r="1383" spans="1:12" s="82" customFormat="1" ht="9.75" customHeight="1" hidden="1">
      <c r="A1383" s="407"/>
      <c r="C1383" s="149"/>
      <c r="D1383" s="85"/>
      <c r="E1383" s="85"/>
      <c r="F1383" s="85"/>
      <c r="G1383" s="85"/>
      <c r="H1383" s="85"/>
      <c r="I1383" s="29"/>
      <c r="J1383" s="80"/>
      <c r="K1383" s="29"/>
      <c r="L1383" s="80"/>
    </row>
    <row r="1384" spans="1:12" s="132" customFormat="1" ht="14.25" customHeight="1" hidden="1">
      <c r="A1384" s="411"/>
      <c r="C1384" s="135" t="s">
        <v>69</v>
      </c>
      <c r="D1384" s="436" t="s">
        <v>214</v>
      </c>
      <c r="E1384" s="435"/>
      <c r="F1384" s="435"/>
      <c r="G1384" s="435"/>
      <c r="H1384" s="435"/>
      <c r="I1384" s="136"/>
      <c r="J1384" s="131"/>
      <c r="K1384" s="131"/>
      <c r="L1384" s="131"/>
    </row>
    <row r="1385" spans="1:12" s="88" customFormat="1" ht="14.25" customHeight="1" hidden="1">
      <c r="A1385" s="411"/>
      <c r="C1385" s="96"/>
      <c r="D1385" s="447" t="s">
        <v>37</v>
      </c>
      <c r="E1385" s="447"/>
      <c r="F1385" s="447"/>
      <c r="G1385" s="447"/>
      <c r="H1385" s="447"/>
      <c r="I1385" s="77">
        <f>SUM(I1386:I1388)</f>
        <v>0</v>
      </c>
      <c r="J1385" s="77">
        <f>SUM(J1386:J1388)</f>
        <v>0</v>
      </c>
      <c r="K1385" s="77">
        <f>SUM(K1386:K1388)</f>
        <v>0</v>
      </c>
      <c r="L1385" s="98"/>
    </row>
    <row r="1386" spans="1:12" s="88" customFormat="1" ht="14.25" customHeight="1" hidden="1">
      <c r="A1386" s="411"/>
      <c r="C1386" s="96"/>
      <c r="D1386" s="446" t="s">
        <v>5</v>
      </c>
      <c r="E1386" s="446"/>
      <c r="F1386" s="446"/>
      <c r="G1386" s="446"/>
      <c r="H1386" s="446"/>
      <c r="I1386" s="100"/>
      <c r="J1386" s="98"/>
      <c r="K1386" s="98">
        <f>SUM(I1386:J1386)</f>
        <v>0</v>
      </c>
      <c r="L1386" s="98"/>
    </row>
    <row r="1387" spans="1:12" s="88" customFormat="1" ht="14.25" customHeight="1" hidden="1">
      <c r="A1387" s="411"/>
      <c r="C1387" s="96"/>
      <c r="D1387" s="446" t="s">
        <v>6</v>
      </c>
      <c r="E1387" s="446"/>
      <c r="F1387" s="446"/>
      <c r="G1387" s="446"/>
      <c r="H1387" s="446"/>
      <c r="I1387" s="100"/>
      <c r="J1387" s="98"/>
      <c r="K1387" s="98">
        <f>SUM(I1387:J1387)</f>
        <v>0</v>
      </c>
      <c r="L1387" s="98"/>
    </row>
    <row r="1388" spans="1:12" s="88" customFormat="1" ht="14.25" customHeight="1" hidden="1">
      <c r="A1388" s="411"/>
      <c r="C1388" s="96"/>
      <c r="D1388" s="446" t="s">
        <v>7</v>
      </c>
      <c r="E1388" s="446"/>
      <c r="F1388" s="446"/>
      <c r="G1388" s="446"/>
      <c r="H1388" s="446"/>
      <c r="I1388" s="100"/>
      <c r="J1388" s="98"/>
      <c r="K1388" s="98">
        <f>SUM(I1388:J1388)</f>
        <v>0</v>
      </c>
      <c r="L1388" s="98"/>
    </row>
    <row r="1389" spans="1:12" s="88" customFormat="1" ht="14.25" customHeight="1" hidden="1">
      <c r="A1389" s="411"/>
      <c r="C1389" s="96"/>
      <c r="D1389" s="447" t="s">
        <v>38</v>
      </c>
      <c r="E1389" s="447"/>
      <c r="F1389" s="447"/>
      <c r="G1389" s="447"/>
      <c r="H1389" s="447"/>
      <c r="I1389" s="254">
        <f>SUM(I1390:I1395)</f>
        <v>0</v>
      </c>
      <c r="J1389" s="254">
        <f>SUM(J1390:J1395)</f>
        <v>0</v>
      </c>
      <c r="K1389" s="254">
        <f>SUM(K1390:K1395)</f>
        <v>0</v>
      </c>
      <c r="L1389" s="98"/>
    </row>
    <row r="1390" spans="1:12" s="88" customFormat="1" ht="14.25" customHeight="1" hidden="1">
      <c r="A1390" s="411"/>
      <c r="C1390" s="96"/>
      <c r="D1390" s="446" t="s">
        <v>289</v>
      </c>
      <c r="E1390" s="446"/>
      <c r="F1390" s="446"/>
      <c r="G1390" s="446"/>
      <c r="H1390" s="446"/>
      <c r="I1390" s="29"/>
      <c r="J1390" s="98"/>
      <c r="K1390" s="98">
        <f aca="true" t="shared" si="94" ref="K1390:K1395">SUM(I1390:J1390)</f>
        <v>0</v>
      </c>
      <c r="L1390" s="98"/>
    </row>
    <row r="1391" spans="1:13" s="79" customFormat="1" ht="14.25" customHeight="1" hidden="1">
      <c r="A1391" s="407"/>
      <c r="C1391" s="151"/>
      <c r="D1391" s="444" t="s">
        <v>8</v>
      </c>
      <c r="E1391" s="448"/>
      <c r="F1391" s="448"/>
      <c r="G1391" s="448"/>
      <c r="H1391" s="448"/>
      <c r="I1391" s="29"/>
      <c r="J1391" s="78"/>
      <c r="K1391" s="98">
        <f t="shared" si="94"/>
        <v>0</v>
      </c>
      <c r="L1391" s="80"/>
      <c r="M1391" s="82"/>
    </row>
    <row r="1392" spans="1:12" s="82" customFormat="1" ht="14.25" customHeight="1" hidden="1">
      <c r="A1392" s="407"/>
      <c r="C1392" s="149"/>
      <c r="D1392" s="444" t="s">
        <v>10</v>
      </c>
      <c r="E1392" s="444"/>
      <c r="F1392" s="444"/>
      <c r="G1392" s="444"/>
      <c r="H1392" s="444"/>
      <c r="I1392" s="29"/>
      <c r="J1392" s="80"/>
      <c r="K1392" s="98">
        <f t="shared" si="94"/>
        <v>0</v>
      </c>
      <c r="L1392" s="80"/>
    </row>
    <row r="1393" spans="1:12" s="82" customFormat="1" ht="14.25" customHeight="1" hidden="1">
      <c r="A1393" s="407"/>
      <c r="C1393" s="149"/>
      <c r="D1393" s="444" t="s">
        <v>9</v>
      </c>
      <c r="E1393" s="444"/>
      <c r="F1393" s="444"/>
      <c r="G1393" s="444"/>
      <c r="H1393" s="444"/>
      <c r="I1393" s="29"/>
      <c r="J1393" s="80"/>
      <c r="K1393" s="98">
        <f t="shared" si="94"/>
        <v>0</v>
      </c>
      <c r="L1393" s="80"/>
    </row>
    <row r="1394" spans="1:13" s="79" customFormat="1" ht="14.25" customHeight="1" hidden="1">
      <c r="A1394" s="407"/>
      <c r="C1394" s="151"/>
      <c r="D1394" s="444" t="s">
        <v>11</v>
      </c>
      <c r="E1394" s="444"/>
      <c r="F1394" s="444"/>
      <c r="G1394" s="444"/>
      <c r="H1394" s="444"/>
      <c r="I1394" s="29"/>
      <c r="J1394" s="80"/>
      <c r="K1394" s="98">
        <f t="shared" si="94"/>
        <v>0</v>
      </c>
      <c r="L1394" s="80"/>
      <c r="M1394" s="82"/>
    </row>
    <row r="1395" spans="1:12" s="82" customFormat="1" ht="14.25" customHeight="1" hidden="1">
      <c r="A1395" s="407"/>
      <c r="C1395" s="149"/>
      <c r="D1395" s="444" t="s">
        <v>12</v>
      </c>
      <c r="E1395" s="444"/>
      <c r="F1395" s="444"/>
      <c r="G1395" s="444"/>
      <c r="H1395" s="444"/>
      <c r="I1395" s="29"/>
      <c r="J1395" s="80"/>
      <c r="K1395" s="98">
        <f t="shared" si="94"/>
        <v>0</v>
      </c>
      <c r="L1395" s="80"/>
    </row>
    <row r="1396" spans="1:12" s="82" customFormat="1" ht="14.25" customHeight="1" hidden="1">
      <c r="A1396" s="407"/>
      <c r="C1396" s="149"/>
      <c r="D1396" s="445" t="s">
        <v>277</v>
      </c>
      <c r="E1396" s="445"/>
      <c r="F1396" s="445"/>
      <c r="G1396" s="445"/>
      <c r="H1396" s="445"/>
      <c r="I1396" s="77">
        <f>I1385-I1389</f>
        <v>0</v>
      </c>
      <c r="J1396" s="77">
        <f>J1385-J1389</f>
        <v>0</v>
      </c>
      <c r="K1396" s="77">
        <f>K1385-K1389</f>
        <v>0</v>
      </c>
      <c r="L1396" s="80"/>
    </row>
    <row r="1397" spans="1:12" s="82" customFormat="1" ht="14.25" customHeight="1" hidden="1">
      <c r="A1397" s="407"/>
      <c r="C1397" s="149"/>
      <c r="D1397" s="444" t="s">
        <v>279</v>
      </c>
      <c r="E1397" s="444"/>
      <c r="F1397" s="444"/>
      <c r="G1397" s="444"/>
      <c r="H1397" s="444"/>
      <c r="I1397" s="29">
        <f>I1398+I1399+I1400</f>
        <v>0</v>
      </c>
      <c r="J1397" s="29">
        <f>J1398+J1399+J1400</f>
        <v>0</v>
      </c>
      <c r="K1397" s="29">
        <f>K1398+K1399+K1400</f>
        <v>0</v>
      </c>
      <c r="L1397" s="80"/>
    </row>
    <row r="1398" spans="1:12" s="82" customFormat="1" ht="14.25" customHeight="1" hidden="1">
      <c r="A1398" s="407"/>
      <c r="C1398" s="149"/>
      <c r="D1398" s="444" t="s">
        <v>278</v>
      </c>
      <c r="E1398" s="444"/>
      <c r="F1398" s="444"/>
      <c r="G1398" s="444"/>
      <c r="H1398" s="444"/>
      <c r="I1398" s="29"/>
      <c r="J1398" s="77"/>
      <c r="K1398" s="80">
        <f>SUM(I1398:J1398)</f>
        <v>0</v>
      </c>
      <c r="L1398" s="80"/>
    </row>
    <row r="1399" spans="1:12" s="82" customFormat="1" ht="14.25" customHeight="1" hidden="1">
      <c r="A1399" s="407"/>
      <c r="C1399" s="149"/>
      <c r="D1399" s="444" t="s">
        <v>280</v>
      </c>
      <c r="E1399" s="444"/>
      <c r="F1399" s="444"/>
      <c r="G1399" s="444"/>
      <c r="H1399" s="444"/>
      <c r="I1399" s="29"/>
      <c r="J1399" s="77"/>
      <c r="K1399" s="80">
        <f>SUM(I1399:J1399)</f>
        <v>0</v>
      </c>
      <c r="L1399" s="80"/>
    </row>
    <row r="1400" spans="1:12" s="82" customFormat="1" ht="14.25" customHeight="1" hidden="1">
      <c r="A1400" s="407"/>
      <c r="C1400" s="149"/>
      <c r="D1400" s="444" t="s">
        <v>281</v>
      </c>
      <c r="E1400" s="444"/>
      <c r="F1400" s="444"/>
      <c r="G1400" s="444"/>
      <c r="H1400" s="444"/>
      <c r="I1400" s="29"/>
      <c r="J1400" s="77"/>
      <c r="K1400" s="80">
        <f>SUM(I1400:J1400)</f>
        <v>0</v>
      </c>
      <c r="L1400" s="80"/>
    </row>
    <row r="1401" spans="1:12" s="82" customFormat="1" ht="12" customHeight="1">
      <c r="A1401" s="407"/>
      <c r="C1401" s="149"/>
      <c r="D1401" s="81"/>
      <c r="E1401" s="81"/>
      <c r="F1401" s="81"/>
      <c r="G1401" s="81"/>
      <c r="H1401" s="81"/>
      <c r="I1401" s="29"/>
      <c r="J1401" s="80"/>
      <c r="K1401" s="29"/>
      <c r="L1401" s="80"/>
    </row>
    <row r="1402" spans="1:12" s="95" customFormat="1" ht="14.25" customHeight="1">
      <c r="A1402" s="407"/>
      <c r="C1402" s="153" t="s">
        <v>69</v>
      </c>
      <c r="D1402" s="449" t="s">
        <v>217</v>
      </c>
      <c r="E1402" s="449"/>
      <c r="F1402" s="449"/>
      <c r="G1402" s="449"/>
      <c r="H1402" s="449"/>
      <c r="I1402" s="129"/>
      <c r="J1402" s="127"/>
      <c r="K1402" s="129"/>
      <c r="L1402" s="127"/>
    </row>
    <row r="1403" spans="1:12" s="82" customFormat="1" ht="13.5" customHeight="1">
      <c r="A1403" s="407"/>
      <c r="C1403" s="149"/>
      <c r="D1403" s="447" t="s">
        <v>37</v>
      </c>
      <c r="E1403" s="447"/>
      <c r="F1403" s="447"/>
      <c r="G1403" s="447"/>
      <c r="H1403" s="447"/>
      <c r="I1403" s="77">
        <f>SUM(I1404:I1406)</f>
        <v>0</v>
      </c>
      <c r="J1403" s="77">
        <f>SUM(J1404:J1406)</f>
        <v>360</v>
      </c>
      <c r="K1403" s="77">
        <f>SUM(K1404:K1406)</f>
        <v>360</v>
      </c>
      <c r="L1403" s="80"/>
    </row>
    <row r="1404" spans="1:12" s="82" customFormat="1" ht="14.25" customHeight="1" hidden="1">
      <c r="A1404" s="407"/>
      <c r="C1404" s="149"/>
      <c r="D1404" s="446" t="s">
        <v>5</v>
      </c>
      <c r="E1404" s="446"/>
      <c r="F1404" s="446"/>
      <c r="G1404" s="446"/>
      <c r="H1404" s="446"/>
      <c r="I1404" s="77"/>
      <c r="J1404" s="80"/>
      <c r="K1404" s="29">
        <f>SUM(I1404:J1404)</f>
        <v>0</v>
      </c>
      <c r="L1404" s="80"/>
    </row>
    <row r="1405" spans="1:12" s="82" customFormat="1" ht="13.5" customHeight="1">
      <c r="A1405" s="407"/>
      <c r="C1405" s="149"/>
      <c r="D1405" s="446" t="s">
        <v>6</v>
      </c>
      <c r="E1405" s="446"/>
      <c r="F1405" s="446"/>
      <c r="G1405" s="446"/>
      <c r="H1405" s="446"/>
      <c r="I1405" s="77"/>
      <c r="J1405" s="80">
        <v>360</v>
      </c>
      <c r="K1405" s="29">
        <f>SUM(I1405:J1405)</f>
        <v>360</v>
      </c>
      <c r="L1405" s="80"/>
    </row>
    <row r="1406" spans="1:12" s="82" customFormat="1" ht="0.75" customHeight="1" hidden="1">
      <c r="A1406" s="407"/>
      <c r="C1406" s="149"/>
      <c r="D1406" s="446" t="s">
        <v>7</v>
      </c>
      <c r="E1406" s="446"/>
      <c r="F1406" s="446"/>
      <c r="G1406" s="446"/>
      <c r="H1406" s="446"/>
      <c r="I1406" s="29"/>
      <c r="J1406" s="80"/>
      <c r="K1406" s="29">
        <f>SUM(I1406:J1406)</f>
        <v>0</v>
      </c>
      <c r="L1406" s="80"/>
    </row>
    <row r="1407" spans="1:13" s="79" customFormat="1" ht="14.25" customHeight="1">
      <c r="A1407" s="407"/>
      <c r="C1407" s="151"/>
      <c r="D1407" s="447" t="s">
        <v>38</v>
      </c>
      <c r="E1407" s="447"/>
      <c r="F1407" s="447"/>
      <c r="G1407" s="447"/>
      <c r="H1407" s="447"/>
      <c r="I1407" s="254">
        <f>SUM(I1408:I1413)</f>
        <v>0</v>
      </c>
      <c r="J1407" s="254">
        <f>SUM(J1408:J1413)</f>
        <v>360</v>
      </c>
      <c r="K1407" s="254">
        <f>SUM(K1408:K1413)</f>
        <v>360</v>
      </c>
      <c r="L1407" s="80"/>
      <c r="M1407" s="82"/>
    </row>
    <row r="1408" spans="1:12" s="82" customFormat="1" ht="12.75" customHeight="1">
      <c r="A1408" s="407"/>
      <c r="C1408" s="149"/>
      <c r="D1408" s="446" t="s">
        <v>289</v>
      </c>
      <c r="E1408" s="446"/>
      <c r="F1408" s="446"/>
      <c r="G1408" s="446"/>
      <c r="H1408" s="446"/>
      <c r="I1408" s="29"/>
      <c r="J1408" s="80">
        <v>360</v>
      </c>
      <c r="K1408" s="29">
        <f aca="true" t="shared" si="95" ref="K1408:K1413">SUM(I1408:J1408)</f>
        <v>360</v>
      </c>
      <c r="L1408" s="80"/>
    </row>
    <row r="1409" spans="1:13" s="79" customFormat="1" ht="14.25" customHeight="1" hidden="1">
      <c r="A1409" s="407"/>
      <c r="C1409" s="151"/>
      <c r="D1409" s="444" t="s">
        <v>8</v>
      </c>
      <c r="E1409" s="448"/>
      <c r="F1409" s="448"/>
      <c r="G1409" s="448"/>
      <c r="H1409" s="448"/>
      <c r="I1409" s="29"/>
      <c r="J1409" s="29"/>
      <c r="K1409" s="29">
        <f t="shared" si="95"/>
        <v>0</v>
      </c>
      <c r="L1409" s="80"/>
      <c r="M1409" s="82"/>
    </row>
    <row r="1410" spans="1:12" s="82" customFormat="1" ht="14.25" customHeight="1" hidden="1">
      <c r="A1410" s="407"/>
      <c r="C1410" s="149"/>
      <c r="D1410" s="444" t="s">
        <v>10</v>
      </c>
      <c r="E1410" s="444"/>
      <c r="F1410" s="444"/>
      <c r="G1410" s="444"/>
      <c r="H1410" s="444"/>
      <c r="I1410" s="29"/>
      <c r="J1410" s="80"/>
      <c r="K1410" s="29">
        <f t="shared" si="95"/>
        <v>0</v>
      </c>
      <c r="L1410" s="80"/>
    </row>
    <row r="1411" spans="1:12" s="82" customFormat="1" ht="14.25" customHeight="1" hidden="1">
      <c r="A1411" s="407"/>
      <c r="C1411" s="152"/>
      <c r="D1411" s="444" t="s">
        <v>9</v>
      </c>
      <c r="E1411" s="444"/>
      <c r="F1411" s="444"/>
      <c r="G1411" s="444"/>
      <c r="H1411" s="444"/>
      <c r="I1411" s="29"/>
      <c r="J1411" s="80"/>
      <c r="K1411" s="29">
        <f t="shared" si="95"/>
        <v>0</v>
      </c>
      <c r="L1411" s="80"/>
    </row>
    <row r="1412" spans="1:12" s="82" customFormat="1" ht="14.25" customHeight="1" hidden="1">
      <c r="A1412" s="407"/>
      <c r="C1412" s="149"/>
      <c r="D1412" s="444" t="s">
        <v>11</v>
      </c>
      <c r="E1412" s="444"/>
      <c r="F1412" s="444"/>
      <c r="G1412" s="444"/>
      <c r="H1412" s="444"/>
      <c r="I1412" s="29"/>
      <c r="J1412" s="80"/>
      <c r="K1412" s="29">
        <f t="shared" si="95"/>
        <v>0</v>
      </c>
      <c r="L1412" s="80"/>
    </row>
    <row r="1413" spans="1:12" s="82" customFormat="1" ht="14.25" customHeight="1" hidden="1">
      <c r="A1413" s="407"/>
      <c r="C1413" s="149"/>
      <c r="D1413" s="444" t="s">
        <v>12</v>
      </c>
      <c r="E1413" s="444"/>
      <c r="F1413" s="444"/>
      <c r="G1413" s="444"/>
      <c r="H1413" s="444"/>
      <c r="I1413" s="29"/>
      <c r="J1413" s="80"/>
      <c r="K1413" s="29">
        <f t="shared" si="95"/>
        <v>0</v>
      </c>
      <c r="L1413" s="80"/>
    </row>
    <row r="1414" spans="1:12" s="82" customFormat="1" ht="14.25" customHeight="1">
      <c r="A1414" s="407"/>
      <c r="C1414" s="149"/>
      <c r="D1414" s="445" t="s">
        <v>277</v>
      </c>
      <c r="E1414" s="445"/>
      <c r="F1414" s="445"/>
      <c r="G1414" s="445"/>
      <c r="H1414" s="445"/>
      <c r="I1414" s="77">
        <f>I1403-I1407</f>
        <v>0</v>
      </c>
      <c r="J1414" s="77">
        <f>J1403-J1407</f>
        <v>0</v>
      </c>
      <c r="K1414" s="77">
        <f>K1403-K1407</f>
        <v>0</v>
      </c>
      <c r="L1414" s="80"/>
    </row>
    <row r="1415" spans="1:12" s="82" customFormat="1" ht="12" customHeight="1">
      <c r="A1415" s="407"/>
      <c r="C1415" s="149"/>
      <c r="D1415" s="444" t="s">
        <v>279</v>
      </c>
      <c r="E1415" s="444"/>
      <c r="F1415" s="444"/>
      <c r="G1415" s="444"/>
      <c r="H1415" s="444"/>
      <c r="I1415" s="29">
        <f>I1416+I1417+I1418</f>
        <v>0</v>
      </c>
      <c r="J1415" s="29">
        <f>J1416+J1417+J1418</f>
        <v>0</v>
      </c>
      <c r="K1415" s="29">
        <f>K1416+K1417+K1418</f>
        <v>0</v>
      </c>
      <c r="L1415" s="80"/>
    </row>
    <row r="1416" spans="1:12" s="82" customFormat="1" ht="14.25" customHeight="1" hidden="1">
      <c r="A1416" s="407"/>
      <c r="C1416" s="149"/>
      <c r="D1416" s="444" t="s">
        <v>278</v>
      </c>
      <c r="E1416" s="444"/>
      <c r="F1416" s="444"/>
      <c r="G1416" s="444"/>
      <c r="H1416" s="444"/>
      <c r="I1416" s="29"/>
      <c r="J1416" s="77"/>
      <c r="K1416" s="80">
        <f>SUM(I1416:J1416)</f>
        <v>0</v>
      </c>
      <c r="L1416" s="80"/>
    </row>
    <row r="1417" spans="1:12" s="82" customFormat="1" ht="14.25" customHeight="1" hidden="1">
      <c r="A1417" s="407"/>
      <c r="C1417" s="149"/>
      <c r="D1417" s="444" t="s">
        <v>280</v>
      </c>
      <c r="E1417" s="444"/>
      <c r="F1417" s="444"/>
      <c r="G1417" s="444"/>
      <c r="H1417" s="444"/>
      <c r="I1417" s="29"/>
      <c r="J1417" s="77"/>
      <c r="K1417" s="80">
        <f>SUM(I1417:J1417)</f>
        <v>0</v>
      </c>
      <c r="L1417" s="80"/>
    </row>
    <row r="1418" spans="1:12" s="82" customFormat="1" ht="14.25" customHeight="1" hidden="1">
      <c r="A1418" s="407"/>
      <c r="C1418" s="149"/>
      <c r="D1418" s="444" t="s">
        <v>281</v>
      </c>
      <c r="E1418" s="444"/>
      <c r="F1418" s="444"/>
      <c r="G1418" s="444"/>
      <c r="H1418" s="444"/>
      <c r="I1418" s="29"/>
      <c r="J1418" s="77"/>
      <c r="K1418" s="80">
        <f>SUM(I1418:J1418)</f>
        <v>0</v>
      </c>
      <c r="L1418" s="80"/>
    </row>
    <row r="1419" spans="1:12" s="82" customFormat="1" ht="12" customHeight="1" hidden="1">
      <c r="A1419" s="407"/>
      <c r="C1419" s="149"/>
      <c r="D1419" s="85"/>
      <c r="E1419" s="85"/>
      <c r="F1419" s="85"/>
      <c r="G1419" s="85"/>
      <c r="H1419" s="85"/>
      <c r="I1419" s="29"/>
      <c r="J1419" s="80"/>
      <c r="K1419" s="80"/>
      <c r="L1419" s="80"/>
    </row>
    <row r="1420" spans="1:12" s="95" customFormat="1" ht="14.25" customHeight="1" hidden="1">
      <c r="A1420" s="407"/>
      <c r="C1420" s="135" t="s">
        <v>69</v>
      </c>
      <c r="D1420" s="449" t="s">
        <v>259</v>
      </c>
      <c r="E1420" s="449"/>
      <c r="F1420" s="449"/>
      <c r="G1420" s="449"/>
      <c r="H1420" s="449"/>
      <c r="I1420" s="129"/>
      <c r="J1420" s="127"/>
      <c r="K1420" s="127"/>
      <c r="L1420" s="127"/>
    </row>
    <row r="1421" spans="1:12" s="82" customFormat="1" ht="14.25" customHeight="1" hidden="1">
      <c r="A1421" s="407"/>
      <c r="C1421" s="149"/>
      <c r="D1421" s="447" t="s">
        <v>37</v>
      </c>
      <c r="E1421" s="447"/>
      <c r="F1421" s="447"/>
      <c r="G1421" s="447"/>
      <c r="H1421" s="447"/>
      <c r="I1421" s="77">
        <f>SUM(I1422:I1424)</f>
        <v>0</v>
      </c>
      <c r="J1421" s="77">
        <f>SUM(J1422:J1424)</f>
        <v>0</v>
      </c>
      <c r="K1421" s="77">
        <f>SUM(K1422:K1424)</f>
        <v>0</v>
      </c>
      <c r="L1421" s="80"/>
    </row>
    <row r="1422" spans="1:12" s="82" customFormat="1" ht="14.25" customHeight="1" hidden="1">
      <c r="A1422" s="407"/>
      <c r="C1422" s="149"/>
      <c r="D1422" s="446" t="s">
        <v>5</v>
      </c>
      <c r="E1422" s="446"/>
      <c r="F1422" s="446"/>
      <c r="G1422" s="446"/>
      <c r="H1422" s="446"/>
      <c r="I1422" s="29"/>
      <c r="J1422" s="80"/>
      <c r="K1422" s="80">
        <f>I1422+J1422</f>
        <v>0</v>
      </c>
      <c r="L1422" s="80"/>
    </row>
    <row r="1423" spans="1:12" s="82" customFormat="1" ht="14.25" customHeight="1" hidden="1">
      <c r="A1423" s="407"/>
      <c r="C1423" s="149"/>
      <c r="D1423" s="446" t="s">
        <v>6</v>
      </c>
      <c r="E1423" s="446"/>
      <c r="F1423" s="446"/>
      <c r="G1423" s="446"/>
      <c r="H1423" s="446"/>
      <c r="I1423" s="29"/>
      <c r="J1423" s="80"/>
      <c r="K1423" s="80">
        <f>I1423+J1423</f>
        <v>0</v>
      </c>
      <c r="L1423" s="80"/>
    </row>
    <row r="1424" spans="1:12" s="82" customFormat="1" ht="14.25" customHeight="1" hidden="1">
      <c r="A1424" s="407"/>
      <c r="C1424" s="149"/>
      <c r="D1424" s="446" t="s">
        <v>7</v>
      </c>
      <c r="E1424" s="446"/>
      <c r="F1424" s="446"/>
      <c r="G1424" s="446"/>
      <c r="H1424" s="446"/>
      <c r="I1424" s="29"/>
      <c r="J1424" s="80"/>
      <c r="K1424" s="80">
        <f>I1424+J1424</f>
        <v>0</v>
      </c>
      <c r="L1424" s="80"/>
    </row>
    <row r="1425" spans="1:12" s="82" customFormat="1" ht="14.25" customHeight="1" hidden="1">
      <c r="A1425" s="407"/>
      <c r="C1425" s="149"/>
      <c r="D1425" s="447" t="s">
        <v>38</v>
      </c>
      <c r="E1425" s="447"/>
      <c r="F1425" s="447"/>
      <c r="G1425" s="447"/>
      <c r="H1425" s="447"/>
      <c r="I1425" s="254">
        <f>SUM(I1426:I1430)</f>
        <v>0</v>
      </c>
      <c r="J1425" s="254">
        <f>SUM(J1426:J1430)</f>
        <v>0</v>
      </c>
      <c r="K1425" s="254">
        <f>SUM(K1426:K1430)</f>
        <v>0</v>
      </c>
      <c r="L1425" s="80"/>
    </row>
    <row r="1426" spans="1:12" s="82" customFormat="1" ht="14.25" customHeight="1" hidden="1">
      <c r="A1426" s="407"/>
      <c r="C1426" s="149"/>
      <c r="D1426" s="446" t="s">
        <v>289</v>
      </c>
      <c r="E1426" s="446"/>
      <c r="F1426" s="446"/>
      <c r="G1426" s="446"/>
      <c r="H1426" s="446"/>
      <c r="I1426" s="29"/>
      <c r="J1426" s="80"/>
      <c r="K1426" s="80">
        <f>I1426+J1426</f>
        <v>0</v>
      </c>
      <c r="L1426" s="80"/>
    </row>
    <row r="1427" spans="1:12" s="82" customFormat="1" ht="14.25" customHeight="1" hidden="1">
      <c r="A1427" s="407"/>
      <c r="C1427" s="149"/>
      <c r="D1427" s="444" t="s">
        <v>8</v>
      </c>
      <c r="E1427" s="448"/>
      <c r="F1427" s="448"/>
      <c r="G1427" s="448"/>
      <c r="H1427" s="448"/>
      <c r="I1427" s="29"/>
      <c r="J1427" s="80"/>
      <c r="K1427" s="80">
        <f>I1427+J1427</f>
        <v>0</v>
      </c>
      <c r="L1427" s="80"/>
    </row>
    <row r="1428" spans="1:12" s="82" customFormat="1" ht="14.25" customHeight="1" hidden="1">
      <c r="A1428" s="407"/>
      <c r="C1428" s="149"/>
      <c r="D1428" s="444" t="s">
        <v>10</v>
      </c>
      <c r="E1428" s="444"/>
      <c r="F1428" s="444"/>
      <c r="G1428" s="444"/>
      <c r="H1428" s="444"/>
      <c r="I1428" s="29"/>
      <c r="J1428" s="80"/>
      <c r="K1428" s="80">
        <f>I1428+J1428</f>
        <v>0</v>
      </c>
      <c r="L1428" s="80"/>
    </row>
    <row r="1429" spans="1:12" s="82" customFormat="1" ht="14.25" customHeight="1" hidden="1">
      <c r="A1429" s="407"/>
      <c r="C1429" s="149"/>
      <c r="D1429" s="444" t="s">
        <v>9</v>
      </c>
      <c r="E1429" s="444"/>
      <c r="F1429" s="444"/>
      <c r="G1429" s="444"/>
      <c r="H1429" s="444"/>
      <c r="I1429" s="29"/>
      <c r="J1429" s="80"/>
      <c r="K1429" s="80">
        <f>I1429+J1429</f>
        <v>0</v>
      </c>
      <c r="L1429" s="80"/>
    </row>
    <row r="1430" spans="1:12" s="82" customFormat="1" ht="14.25" customHeight="1" hidden="1">
      <c r="A1430" s="407"/>
      <c r="C1430" s="149"/>
      <c r="D1430" s="444" t="s">
        <v>11</v>
      </c>
      <c r="E1430" s="444"/>
      <c r="F1430" s="444"/>
      <c r="G1430" s="444"/>
      <c r="H1430" s="444"/>
      <c r="I1430" s="29"/>
      <c r="J1430" s="80"/>
      <c r="K1430" s="80">
        <f>I1430+J1430</f>
        <v>0</v>
      </c>
      <c r="L1430" s="80"/>
    </row>
    <row r="1431" spans="1:12" s="82" customFormat="1" ht="14.25" customHeight="1" hidden="1">
      <c r="A1431" s="407"/>
      <c r="C1431" s="149"/>
      <c r="D1431" s="445" t="s">
        <v>277</v>
      </c>
      <c r="E1431" s="445"/>
      <c r="F1431" s="445"/>
      <c r="G1431" s="445"/>
      <c r="H1431" s="445"/>
      <c r="I1431" s="77">
        <f>I1421-I1425</f>
        <v>0</v>
      </c>
      <c r="J1431" s="77">
        <f>J1421-J1425</f>
        <v>0</v>
      </c>
      <c r="K1431" s="77">
        <f>K1421-K1425</f>
        <v>0</v>
      </c>
      <c r="L1431" s="80"/>
    </row>
    <row r="1432" spans="1:12" s="82" customFormat="1" ht="14.25" customHeight="1" hidden="1">
      <c r="A1432" s="407"/>
      <c r="C1432" s="149"/>
      <c r="D1432" s="444" t="s">
        <v>279</v>
      </c>
      <c r="E1432" s="444"/>
      <c r="F1432" s="444"/>
      <c r="G1432" s="444"/>
      <c r="H1432" s="444"/>
      <c r="I1432" s="29">
        <f>I1433+I1434+I1435</f>
        <v>0</v>
      </c>
      <c r="J1432" s="29">
        <f>J1433+J1434+J1435</f>
        <v>0</v>
      </c>
      <c r="K1432" s="29">
        <f>K1433+K1434+K1435</f>
        <v>0</v>
      </c>
      <c r="L1432" s="80"/>
    </row>
    <row r="1433" spans="1:12" s="82" customFormat="1" ht="14.25" customHeight="1" hidden="1">
      <c r="A1433" s="407"/>
      <c r="C1433" s="149"/>
      <c r="D1433" s="444" t="s">
        <v>278</v>
      </c>
      <c r="E1433" s="444"/>
      <c r="F1433" s="444"/>
      <c r="G1433" s="444"/>
      <c r="H1433" s="444"/>
      <c r="I1433" s="29"/>
      <c r="J1433" s="77"/>
      <c r="K1433" s="80">
        <f>SUM(I1433:J1433)</f>
        <v>0</v>
      </c>
      <c r="L1433" s="80"/>
    </row>
    <row r="1434" spans="1:12" s="82" customFormat="1" ht="14.25" customHeight="1" hidden="1">
      <c r="A1434" s="407"/>
      <c r="C1434" s="149"/>
      <c r="D1434" s="444" t="s">
        <v>280</v>
      </c>
      <c r="E1434" s="444"/>
      <c r="F1434" s="444"/>
      <c r="G1434" s="444"/>
      <c r="H1434" s="444"/>
      <c r="I1434" s="29"/>
      <c r="J1434" s="77"/>
      <c r="K1434" s="80">
        <f>SUM(I1434:J1434)</f>
        <v>0</v>
      </c>
      <c r="L1434" s="80"/>
    </row>
    <row r="1435" spans="1:12" s="82" customFormat="1" ht="14.25" customHeight="1" hidden="1">
      <c r="A1435" s="407"/>
      <c r="C1435" s="149"/>
      <c r="D1435" s="444" t="s">
        <v>281</v>
      </c>
      <c r="E1435" s="444"/>
      <c r="F1435" s="444"/>
      <c r="G1435" s="444"/>
      <c r="H1435" s="444"/>
      <c r="I1435" s="29"/>
      <c r="J1435" s="77"/>
      <c r="K1435" s="80">
        <f>SUM(I1435:J1435)</f>
        <v>0</v>
      </c>
      <c r="L1435" s="80"/>
    </row>
    <row r="1436" spans="1:12" s="82" customFormat="1" ht="14.25" customHeight="1" hidden="1">
      <c r="A1436" s="407"/>
      <c r="C1436" s="149"/>
      <c r="D1436" s="85"/>
      <c r="E1436" s="85"/>
      <c r="F1436" s="85"/>
      <c r="G1436" s="85"/>
      <c r="H1436" s="85"/>
      <c r="I1436" s="29"/>
      <c r="J1436" s="80"/>
      <c r="K1436" s="80"/>
      <c r="L1436" s="80"/>
    </row>
    <row r="1437" spans="1:12" s="82" customFormat="1" ht="30.75" customHeight="1">
      <c r="A1437" s="407"/>
      <c r="C1437" s="149"/>
      <c r="D1437" s="85"/>
      <c r="E1437" s="85"/>
      <c r="F1437" s="85"/>
      <c r="G1437" s="85"/>
      <c r="H1437" s="85"/>
      <c r="I1437" s="29"/>
      <c r="J1437" s="80"/>
      <c r="K1437" s="80"/>
      <c r="L1437" s="80"/>
    </row>
    <row r="1438" spans="1:13" s="105" customFormat="1" ht="14.25" customHeight="1">
      <c r="A1438" s="414"/>
      <c r="C1438" s="128" t="s">
        <v>60</v>
      </c>
      <c r="D1438" s="429" t="s">
        <v>72</v>
      </c>
      <c r="E1438" s="419"/>
      <c r="F1438" s="419"/>
      <c r="G1438" s="419"/>
      <c r="H1438" s="419"/>
      <c r="I1438" s="145"/>
      <c r="J1438" s="146"/>
      <c r="K1438" s="146"/>
      <c r="L1438" s="260"/>
      <c r="M1438" s="263"/>
    </row>
    <row r="1439" spans="1:13" s="105" customFormat="1" ht="12" customHeight="1">
      <c r="A1439" s="414"/>
      <c r="C1439" s="101"/>
      <c r="D1439" s="447" t="s">
        <v>37</v>
      </c>
      <c r="E1439" s="447"/>
      <c r="F1439" s="447"/>
      <c r="G1439" s="447"/>
      <c r="H1439" s="447"/>
      <c r="I1439" s="77">
        <f>SUM(I1440:I1442)</f>
        <v>74268</v>
      </c>
      <c r="J1439" s="77">
        <f>SUM(J1440:J1442)</f>
        <v>5391</v>
      </c>
      <c r="K1439" s="77">
        <f>SUM(K1440:K1442)</f>
        <v>79659</v>
      </c>
      <c r="L1439" s="260"/>
      <c r="M1439" s="263"/>
    </row>
    <row r="1440" spans="1:13" s="105" customFormat="1" ht="13.5" customHeight="1">
      <c r="A1440" s="414"/>
      <c r="C1440" s="101"/>
      <c r="D1440" s="446" t="s">
        <v>5</v>
      </c>
      <c r="E1440" s="446"/>
      <c r="F1440" s="446"/>
      <c r="G1440" s="446"/>
      <c r="H1440" s="446"/>
      <c r="I1440" s="29">
        <f aca="true" t="shared" si="96" ref="I1440:K1442">I1458+I1476</f>
        <v>74000</v>
      </c>
      <c r="J1440" s="29">
        <f t="shared" si="96"/>
        <v>5391</v>
      </c>
      <c r="K1440" s="29">
        <f t="shared" si="96"/>
        <v>79391</v>
      </c>
      <c r="L1440" s="260"/>
      <c r="M1440" s="263"/>
    </row>
    <row r="1441" spans="1:13" s="105" customFormat="1" ht="12.75" customHeight="1">
      <c r="A1441" s="414"/>
      <c r="C1441" s="101"/>
      <c r="D1441" s="446" t="s">
        <v>6</v>
      </c>
      <c r="E1441" s="446"/>
      <c r="F1441" s="446"/>
      <c r="G1441" s="446"/>
      <c r="H1441" s="446"/>
      <c r="I1441" s="29">
        <f t="shared" si="96"/>
        <v>268</v>
      </c>
      <c r="J1441" s="29">
        <f t="shared" si="96"/>
        <v>0</v>
      </c>
      <c r="K1441" s="29">
        <f t="shared" si="96"/>
        <v>268</v>
      </c>
      <c r="L1441" s="260"/>
      <c r="M1441" s="263"/>
    </row>
    <row r="1442" spans="1:13" s="105" customFormat="1" ht="13.5" customHeight="1" hidden="1">
      <c r="A1442" s="414"/>
      <c r="C1442" s="101"/>
      <c r="D1442" s="446" t="s">
        <v>7</v>
      </c>
      <c r="E1442" s="446"/>
      <c r="F1442" s="446"/>
      <c r="G1442" s="446"/>
      <c r="H1442" s="446"/>
      <c r="I1442" s="29">
        <f t="shared" si="96"/>
        <v>0</v>
      </c>
      <c r="J1442" s="29">
        <f t="shared" si="96"/>
        <v>0</v>
      </c>
      <c r="K1442" s="29">
        <f t="shared" si="96"/>
        <v>0</v>
      </c>
      <c r="L1442" s="260"/>
      <c r="M1442" s="263"/>
    </row>
    <row r="1443" spans="1:13" s="105" customFormat="1" ht="13.5" customHeight="1">
      <c r="A1443" s="414"/>
      <c r="C1443" s="101"/>
      <c r="D1443" s="447" t="s">
        <v>38</v>
      </c>
      <c r="E1443" s="447"/>
      <c r="F1443" s="447"/>
      <c r="G1443" s="447"/>
      <c r="H1443" s="447"/>
      <c r="I1443" s="253">
        <f>SUM(I1444:I1449)</f>
        <v>74296</v>
      </c>
      <c r="J1443" s="253">
        <f>SUM(J1444:J1449)</f>
        <v>5391</v>
      </c>
      <c r="K1443" s="253">
        <f>SUM(K1444:K1449)</f>
        <v>79687</v>
      </c>
      <c r="L1443" s="260"/>
      <c r="M1443" s="263"/>
    </row>
    <row r="1444" spans="1:13" s="105" customFormat="1" ht="13.5" customHeight="1">
      <c r="A1444" s="414"/>
      <c r="C1444" s="101"/>
      <c r="D1444" s="446" t="s">
        <v>289</v>
      </c>
      <c r="E1444" s="446"/>
      <c r="F1444" s="446"/>
      <c r="G1444" s="446"/>
      <c r="H1444" s="446"/>
      <c r="I1444" s="29">
        <f aca="true" t="shared" si="97" ref="I1444:K1449">I1462+I1480</f>
        <v>55975</v>
      </c>
      <c r="J1444" s="29">
        <f t="shared" si="97"/>
        <v>5391</v>
      </c>
      <c r="K1444" s="29">
        <f t="shared" si="97"/>
        <v>61366</v>
      </c>
      <c r="L1444" s="260"/>
      <c r="M1444" s="263"/>
    </row>
    <row r="1445" spans="1:13" s="105" customFormat="1" ht="12.75" customHeight="1">
      <c r="A1445" s="414"/>
      <c r="C1445" s="101"/>
      <c r="D1445" s="444" t="s">
        <v>8</v>
      </c>
      <c r="E1445" s="448"/>
      <c r="F1445" s="448"/>
      <c r="G1445" s="448"/>
      <c r="H1445" s="448"/>
      <c r="I1445" s="29">
        <f t="shared" si="97"/>
        <v>17921</v>
      </c>
      <c r="J1445" s="29">
        <f t="shared" si="97"/>
        <v>0</v>
      </c>
      <c r="K1445" s="29">
        <f t="shared" si="97"/>
        <v>17921</v>
      </c>
      <c r="L1445" s="260"/>
      <c r="M1445" s="263"/>
    </row>
    <row r="1446" spans="1:13" s="79" customFormat="1" ht="13.5" customHeight="1" hidden="1">
      <c r="A1446" s="407"/>
      <c r="C1446" s="151"/>
      <c r="D1446" s="444" t="s">
        <v>10</v>
      </c>
      <c r="E1446" s="444"/>
      <c r="F1446" s="444"/>
      <c r="G1446" s="444"/>
      <c r="H1446" s="444"/>
      <c r="I1446" s="29">
        <f t="shared" si="97"/>
        <v>0</v>
      </c>
      <c r="J1446" s="29">
        <f t="shared" si="97"/>
        <v>0</v>
      </c>
      <c r="K1446" s="29">
        <f t="shared" si="97"/>
        <v>0</v>
      </c>
      <c r="L1446" s="80"/>
      <c r="M1446" s="82"/>
    </row>
    <row r="1447" spans="1:12" s="82" customFormat="1" ht="13.5" customHeight="1" hidden="1">
      <c r="A1447" s="407"/>
      <c r="C1447" s="149"/>
      <c r="D1447" s="444" t="s">
        <v>9</v>
      </c>
      <c r="E1447" s="444"/>
      <c r="F1447" s="444"/>
      <c r="G1447" s="444"/>
      <c r="H1447" s="444"/>
      <c r="I1447" s="29">
        <f t="shared" si="97"/>
        <v>0</v>
      </c>
      <c r="J1447" s="29">
        <f t="shared" si="97"/>
        <v>0</v>
      </c>
      <c r="K1447" s="29">
        <f t="shared" si="97"/>
        <v>0</v>
      </c>
      <c r="L1447" s="80"/>
    </row>
    <row r="1448" spans="1:12" s="82" customFormat="1" ht="13.5" customHeight="1">
      <c r="A1448" s="407"/>
      <c r="C1448" s="149"/>
      <c r="D1448" s="444" t="s">
        <v>11</v>
      </c>
      <c r="E1448" s="444"/>
      <c r="F1448" s="444"/>
      <c r="G1448" s="444"/>
      <c r="H1448" s="444"/>
      <c r="I1448" s="29">
        <f t="shared" si="97"/>
        <v>400</v>
      </c>
      <c r="J1448" s="29">
        <f t="shared" si="97"/>
        <v>0</v>
      </c>
      <c r="K1448" s="29">
        <f t="shared" si="97"/>
        <v>400</v>
      </c>
      <c r="L1448" s="80"/>
    </row>
    <row r="1449" spans="1:13" s="79" customFormat="1" ht="13.5" customHeight="1" hidden="1">
      <c r="A1449" s="407"/>
      <c r="C1449" s="151"/>
      <c r="D1449" s="444" t="s">
        <v>12</v>
      </c>
      <c r="E1449" s="444"/>
      <c r="F1449" s="444"/>
      <c r="G1449" s="444"/>
      <c r="H1449" s="444"/>
      <c r="I1449" s="29">
        <f t="shared" si="97"/>
        <v>0</v>
      </c>
      <c r="J1449" s="29">
        <f t="shared" si="97"/>
        <v>0</v>
      </c>
      <c r="K1449" s="29">
        <f t="shared" si="97"/>
        <v>0</v>
      </c>
      <c r="L1449" s="80"/>
      <c r="M1449" s="82"/>
    </row>
    <row r="1450" spans="1:13" s="79" customFormat="1" ht="13.5" customHeight="1">
      <c r="A1450" s="407"/>
      <c r="C1450" s="151"/>
      <c r="D1450" s="445" t="s">
        <v>277</v>
      </c>
      <c r="E1450" s="445"/>
      <c r="F1450" s="445"/>
      <c r="G1450" s="445"/>
      <c r="H1450" s="445"/>
      <c r="I1450" s="77">
        <f>I1439-I1443</f>
        <v>-28</v>
      </c>
      <c r="J1450" s="77">
        <f>J1439-J1443</f>
        <v>0</v>
      </c>
      <c r="K1450" s="77">
        <f>K1439-K1443</f>
        <v>-28</v>
      </c>
      <c r="L1450" s="80"/>
      <c r="M1450" s="82"/>
    </row>
    <row r="1451" spans="1:13" s="79" customFormat="1" ht="13.5" customHeight="1">
      <c r="A1451" s="407"/>
      <c r="C1451" s="151"/>
      <c r="D1451" s="444" t="s">
        <v>279</v>
      </c>
      <c r="E1451" s="444"/>
      <c r="F1451" s="444"/>
      <c r="G1451" s="444"/>
      <c r="H1451" s="444"/>
      <c r="I1451" s="29">
        <f>I1452+I1453+I1454</f>
        <v>28</v>
      </c>
      <c r="J1451" s="29">
        <f>J1452+J1453+J1454</f>
        <v>0</v>
      </c>
      <c r="K1451" s="29">
        <f>K1452+K1453+K1454</f>
        <v>28</v>
      </c>
      <c r="L1451" s="80"/>
      <c r="M1451" s="82"/>
    </row>
    <row r="1452" spans="1:13" s="79" customFormat="1" ht="13.5" customHeight="1">
      <c r="A1452" s="407"/>
      <c r="C1452" s="151"/>
      <c r="D1452" s="444" t="s">
        <v>278</v>
      </c>
      <c r="E1452" s="444"/>
      <c r="F1452" s="444"/>
      <c r="G1452" s="444"/>
      <c r="H1452" s="444"/>
      <c r="I1452" s="29">
        <f>I1470+I1488</f>
        <v>28</v>
      </c>
      <c r="J1452" s="29">
        <f>J1470+J1488</f>
        <v>0</v>
      </c>
      <c r="K1452" s="29">
        <f>K1470+K1488</f>
        <v>28</v>
      </c>
      <c r="L1452" s="80"/>
      <c r="M1452" s="82"/>
    </row>
    <row r="1453" spans="1:13" s="79" customFormat="1" ht="13.5" customHeight="1" hidden="1">
      <c r="A1453" s="407"/>
      <c r="C1453" s="151"/>
      <c r="D1453" s="444" t="s">
        <v>280</v>
      </c>
      <c r="E1453" s="444"/>
      <c r="F1453" s="444"/>
      <c r="G1453" s="444"/>
      <c r="H1453" s="444"/>
      <c r="I1453" s="29">
        <f>I1471+I1489</f>
        <v>0</v>
      </c>
      <c r="J1453" s="29">
        <f>J1471+J1489</f>
        <v>0</v>
      </c>
      <c r="K1453" s="80">
        <f>SUM(I1453:J1453)</f>
        <v>0</v>
      </c>
      <c r="L1453" s="80"/>
      <c r="M1453" s="82"/>
    </row>
    <row r="1454" spans="1:13" s="79" customFormat="1" ht="13.5" customHeight="1" hidden="1">
      <c r="A1454" s="407"/>
      <c r="C1454" s="151"/>
      <c r="D1454" s="444" t="s">
        <v>281</v>
      </c>
      <c r="E1454" s="444"/>
      <c r="F1454" s="444"/>
      <c r="G1454" s="444"/>
      <c r="H1454" s="444"/>
      <c r="I1454" s="29">
        <f>I1472+I1490</f>
        <v>0</v>
      </c>
      <c r="J1454" s="29">
        <f>J1472+J1490</f>
        <v>0</v>
      </c>
      <c r="K1454" s="29">
        <f>K1472+K1490</f>
        <v>0</v>
      </c>
      <c r="L1454" s="80"/>
      <c r="M1454" s="82"/>
    </row>
    <row r="1455" spans="1:13" s="79" customFormat="1" ht="8.25" customHeight="1">
      <c r="A1455" s="407"/>
      <c r="C1455" s="151"/>
      <c r="D1455" s="85"/>
      <c r="E1455" s="85"/>
      <c r="F1455" s="85"/>
      <c r="G1455" s="85"/>
      <c r="H1455" s="85"/>
      <c r="I1455" s="29"/>
      <c r="J1455" s="77"/>
      <c r="K1455" s="77"/>
      <c r="L1455" s="80"/>
      <c r="M1455" s="82"/>
    </row>
    <row r="1456" spans="1:12" s="95" customFormat="1" ht="12" customHeight="1">
      <c r="A1456" s="407"/>
      <c r="C1456" s="153" t="s">
        <v>69</v>
      </c>
      <c r="D1456" s="449" t="s">
        <v>72</v>
      </c>
      <c r="E1456" s="449"/>
      <c r="F1456" s="449"/>
      <c r="G1456" s="449"/>
      <c r="H1456" s="449"/>
      <c r="I1456" s="129"/>
      <c r="J1456" s="127"/>
      <c r="K1456" s="127"/>
      <c r="L1456" s="127"/>
    </row>
    <row r="1457" spans="1:12" s="82" customFormat="1" ht="11.25" customHeight="1">
      <c r="A1457" s="407"/>
      <c r="C1457" s="149"/>
      <c r="D1457" s="447" t="s">
        <v>37</v>
      </c>
      <c r="E1457" s="447"/>
      <c r="F1457" s="447"/>
      <c r="G1457" s="447"/>
      <c r="H1457" s="447"/>
      <c r="I1457" s="77">
        <f>SUM(I1458:I1460)</f>
        <v>72038</v>
      </c>
      <c r="J1457" s="77">
        <f>SUM(J1458:J1460)</f>
        <v>5391</v>
      </c>
      <c r="K1457" s="77">
        <f>SUM(K1458:K1460)</f>
        <v>77429</v>
      </c>
      <c r="L1457" s="80"/>
    </row>
    <row r="1458" spans="1:12" s="82" customFormat="1" ht="13.5" customHeight="1">
      <c r="A1458" s="407"/>
      <c r="C1458" s="149"/>
      <c r="D1458" s="446" t="s">
        <v>5</v>
      </c>
      <c r="E1458" s="446"/>
      <c r="F1458" s="446"/>
      <c r="G1458" s="446"/>
      <c r="H1458" s="446"/>
      <c r="I1458" s="29">
        <v>71770</v>
      </c>
      <c r="J1458" s="80">
        <v>5391</v>
      </c>
      <c r="K1458" s="80">
        <f>SUM(I1458:J1458)</f>
        <v>77161</v>
      </c>
      <c r="L1458" s="80"/>
    </row>
    <row r="1459" spans="1:12" s="82" customFormat="1" ht="12" customHeight="1">
      <c r="A1459" s="407"/>
      <c r="C1459" s="149"/>
      <c r="D1459" s="446" t="s">
        <v>6</v>
      </c>
      <c r="E1459" s="446"/>
      <c r="F1459" s="446"/>
      <c r="G1459" s="446"/>
      <c r="H1459" s="446"/>
      <c r="I1459" s="29">
        <v>268</v>
      </c>
      <c r="J1459" s="80"/>
      <c r="K1459" s="80">
        <f>SUM(I1459:J1459)</f>
        <v>268</v>
      </c>
      <c r="L1459" s="80"/>
    </row>
    <row r="1460" spans="1:12" s="82" customFormat="1" ht="13.5" customHeight="1" hidden="1">
      <c r="A1460" s="407"/>
      <c r="C1460" s="149"/>
      <c r="D1460" s="446" t="s">
        <v>7</v>
      </c>
      <c r="E1460" s="446"/>
      <c r="F1460" s="446"/>
      <c r="G1460" s="446"/>
      <c r="H1460" s="446"/>
      <c r="I1460" s="29"/>
      <c r="J1460" s="80"/>
      <c r="K1460" s="80">
        <f>SUM(I1460:J1460)</f>
        <v>0</v>
      </c>
      <c r="L1460" s="80"/>
    </row>
    <row r="1461" spans="1:12" s="82" customFormat="1" ht="11.25" customHeight="1">
      <c r="A1461" s="407"/>
      <c r="C1461" s="149"/>
      <c r="D1461" s="447" t="s">
        <v>38</v>
      </c>
      <c r="E1461" s="447"/>
      <c r="F1461" s="447"/>
      <c r="G1461" s="447"/>
      <c r="H1461" s="447"/>
      <c r="I1461" s="254">
        <f>SUM(I1462:I1467)</f>
        <v>72066</v>
      </c>
      <c r="J1461" s="254">
        <f>SUM(J1462:J1467)</f>
        <v>5391</v>
      </c>
      <c r="K1461" s="254">
        <f>SUM(K1462:K1467)</f>
        <v>77457</v>
      </c>
      <c r="L1461" s="80"/>
    </row>
    <row r="1462" spans="1:12" s="82" customFormat="1" ht="13.5" customHeight="1">
      <c r="A1462" s="407"/>
      <c r="C1462" s="149"/>
      <c r="D1462" s="446" t="s">
        <v>289</v>
      </c>
      <c r="E1462" s="446"/>
      <c r="F1462" s="446"/>
      <c r="G1462" s="446"/>
      <c r="H1462" s="446"/>
      <c r="I1462" s="29">
        <v>55975</v>
      </c>
      <c r="J1462" s="80">
        <v>5391</v>
      </c>
      <c r="K1462" s="80">
        <f aca="true" t="shared" si="98" ref="K1462:K1467">SUM(I1462:J1462)</f>
        <v>61366</v>
      </c>
      <c r="L1462" s="80"/>
    </row>
    <row r="1463" spans="1:13" s="79" customFormat="1" ht="12.75" customHeight="1">
      <c r="A1463" s="407"/>
      <c r="C1463" s="151"/>
      <c r="D1463" s="444" t="s">
        <v>8</v>
      </c>
      <c r="E1463" s="448"/>
      <c r="F1463" s="448"/>
      <c r="G1463" s="448"/>
      <c r="H1463" s="448"/>
      <c r="I1463" s="29">
        <f>15395+296</f>
        <v>15691</v>
      </c>
      <c r="J1463" s="77"/>
      <c r="K1463" s="80">
        <f t="shared" si="98"/>
        <v>15691</v>
      </c>
      <c r="L1463" s="80"/>
      <c r="M1463" s="82"/>
    </row>
    <row r="1464" spans="1:12" s="82" customFormat="1" ht="13.5" customHeight="1" hidden="1">
      <c r="A1464" s="407"/>
      <c r="C1464" s="149"/>
      <c r="D1464" s="444" t="s">
        <v>10</v>
      </c>
      <c r="E1464" s="444"/>
      <c r="F1464" s="444"/>
      <c r="G1464" s="444"/>
      <c r="H1464" s="444"/>
      <c r="I1464" s="29"/>
      <c r="J1464" s="80"/>
      <c r="K1464" s="80">
        <f t="shared" si="98"/>
        <v>0</v>
      </c>
      <c r="L1464" s="80"/>
    </row>
    <row r="1465" spans="1:12" s="82" customFormat="1" ht="13.5" customHeight="1" hidden="1">
      <c r="A1465" s="407"/>
      <c r="C1465" s="149"/>
      <c r="D1465" s="444" t="s">
        <v>9</v>
      </c>
      <c r="E1465" s="444"/>
      <c r="F1465" s="444"/>
      <c r="G1465" s="444"/>
      <c r="H1465" s="444"/>
      <c r="I1465" s="29"/>
      <c r="J1465" s="80"/>
      <c r="K1465" s="80">
        <f t="shared" si="98"/>
        <v>0</v>
      </c>
      <c r="L1465" s="80"/>
    </row>
    <row r="1466" spans="1:13" s="79" customFormat="1" ht="12.75" customHeight="1">
      <c r="A1466" s="407"/>
      <c r="C1466" s="151"/>
      <c r="D1466" s="444" t="s">
        <v>11</v>
      </c>
      <c r="E1466" s="444"/>
      <c r="F1466" s="444"/>
      <c r="G1466" s="444"/>
      <c r="H1466" s="444"/>
      <c r="I1466" s="29">
        <v>400</v>
      </c>
      <c r="J1466" s="77"/>
      <c r="K1466" s="80">
        <f t="shared" si="98"/>
        <v>400</v>
      </c>
      <c r="L1466" s="80"/>
      <c r="M1466" s="82"/>
    </row>
    <row r="1467" spans="1:12" s="82" customFormat="1" ht="13.5" customHeight="1" hidden="1">
      <c r="A1467" s="407"/>
      <c r="C1467" s="149"/>
      <c r="D1467" s="444" t="s">
        <v>12</v>
      </c>
      <c r="E1467" s="444"/>
      <c r="F1467" s="444"/>
      <c r="G1467" s="444"/>
      <c r="H1467" s="444"/>
      <c r="I1467" s="29"/>
      <c r="J1467" s="80"/>
      <c r="K1467" s="80">
        <f t="shared" si="98"/>
        <v>0</v>
      </c>
      <c r="L1467" s="80"/>
    </row>
    <row r="1468" spans="1:12" s="82" customFormat="1" ht="13.5" customHeight="1">
      <c r="A1468" s="407"/>
      <c r="C1468" s="149"/>
      <c r="D1468" s="445" t="s">
        <v>277</v>
      </c>
      <c r="E1468" s="445"/>
      <c r="F1468" s="445"/>
      <c r="G1468" s="445"/>
      <c r="H1468" s="445"/>
      <c r="I1468" s="77">
        <f>I1457-I1461</f>
        <v>-28</v>
      </c>
      <c r="J1468" s="77">
        <f>J1457-J1461</f>
        <v>0</v>
      </c>
      <c r="K1468" s="77">
        <f>K1457-K1461</f>
        <v>-28</v>
      </c>
      <c r="L1468" s="80"/>
    </row>
    <row r="1469" spans="1:12" s="82" customFormat="1" ht="13.5" customHeight="1">
      <c r="A1469" s="407"/>
      <c r="C1469" s="149"/>
      <c r="D1469" s="444" t="s">
        <v>279</v>
      </c>
      <c r="E1469" s="444"/>
      <c r="F1469" s="444"/>
      <c r="G1469" s="444"/>
      <c r="H1469" s="444"/>
      <c r="I1469" s="29">
        <f>I1470+I1471+I1472</f>
        <v>28</v>
      </c>
      <c r="J1469" s="29">
        <f>J1470+J1471+J1472</f>
        <v>0</v>
      </c>
      <c r="K1469" s="29">
        <f>K1470+K1471+K1472</f>
        <v>28</v>
      </c>
      <c r="L1469" s="80"/>
    </row>
    <row r="1470" spans="1:12" s="82" customFormat="1" ht="12.75" customHeight="1">
      <c r="A1470" s="407"/>
      <c r="C1470" s="149"/>
      <c r="D1470" s="444" t="s">
        <v>278</v>
      </c>
      <c r="E1470" s="444"/>
      <c r="F1470" s="444"/>
      <c r="G1470" s="444"/>
      <c r="H1470" s="444"/>
      <c r="I1470" s="29">
        <v>28</v>
      </c>
      <c r="J1470" s="77"/>
      <c r="K1470" s="80">
        <f>SUM(I1470:J1470)</f>
        <v>28</v>
      </c>
      <c r="L1470" s="80"/>
    </row>
    <row r="1471" spans="1:12" s="82" customFormat="1" ht="13.5" customHeight="1" hidden="1">
      <c r="A1471" s="407"/>
      <c r="C1471" s="149"/>
      <c r="D1471" s="444" t="s">
        <v>280</v>
      </c>
      <c r="E1471" s="444"/>
      <c r="F1471" s="444"/>
      <c r="G1471" s="444"/>
      <c r="H1471" s="444"/>
      <c r="I1471" s="29"/>
      <c r="J1471" s="77"/>
      <c r="K1471" s="80">
        <f>SUM(I1471:J1471)</f>
        <v>0</v>
      </c>
      <c r="L1471" s="80"/>
    </row>
    <row r="1472" spans="1:12" s="82" customFormat="1" ht="13.5" customHeight="1" hidden="1">
      <c r="A1472" s="407"/>
      <c r="C1472" s="149"/>
      <c r="D1472" s="444" t="s">
        <v>281</v>
      </c>
      <c r="E1472" s="444"/>
      <c r="F1472" s="444"/>
      <c r="G1472" s="444"/>
      <c r="H1472" s="444"/>
      <c r="I1472" s="29"/>
      <c r="J1472" s="77"/>
      <c r="K1472" s="80">
        <f>SUM(I1472:J1472)</f>
        <v>0</v>
      </c>
      <c r="L1472" s="80"/>
    </row>
    <row r="1473" spans="1:12" s="33" customFormat="1" ht="6" customHeight="1">
      <c r="A1473" s="410"/>
      <c r="C1473" s="152"/>
      <c r="D1473" s="81"/>
      <c r="E1473" s="81"/>
      <c r="F1473" s="81"/>
      <c r="G1473" s="81"/>
      <c r="H1473" s="81"/>
      <c r="I1473" s="29"/>
      <c r="J1473" s="80"/>
      <c r="K1473" s="29"/>
      <c r="L1473" s="175"/>
    </row>
    <row r="1474" spans="1:12" s="95" customFormat="1" ht="13.5" customHeight="1">
      <c r="A1474" s="407"/>
      <c r="C1474" s="153" t="s">
        <v>108</v>
      </c>
      <c r="D1474" s="449" t="s">
        <v>63</v>
      </c>
      <c r="E1474" s="449"/>
      <c r="F1474" s="449"/>
      <c r="G1474" s="449"/>
      <c r="H1474" s="449"/>
      <c r="I1474" s="129"/>
      <c r="J1474" s="127"/>
      <c r="K1474" s="127"/>
      <c r="L1474" s="127"/>
    </row>
    <row r="1475" spans="1:12" s="82" customFormat="1" ht="13.5" customHeight="1">
      <c r="A1475" s="407"/>
      <c r="C1475" s="149"/>
      <c r="D1475" s="447" t="s">
        <v>37</v>
      </c>
      <c r="E1475" s="447"/>
      <c r="F1475" s="447"/>
      <c r="G1475" s="447"/>
      <c r="H1475" s="447"/>
      <c r="I1475" s="77">
        <f>SUM(I1476:I1478)</f>
        <v>2230</v>
      </c>
      <c r="J1475" s="77">
        <f>SUM(J1476:J1478)</f>
        <v>0</v>
      </c>
      <c r="K1475" s="77">
        <f>SUM(K1476:K1478)</f>
        <v>2230</v>
      </c>
      <c r="L1475" s="80"/>
    </row>
    <row r="1476" spans="1:12" s="82" customFormat="1" ht="12" customHeight="1">
      <c r="A1476" s="407"/>
      <c r="C1476" s="149"/>
      <c r="D1476" s="446" t="s">
        <v>5</v>
      </c>
      <c r="E1476" s="446"/>
      <c r="F1476" s="446"/>
      <c r="G1476" s="446"/>
      <c r="H1476" s="446"/>
      <c r="I1476" s="29">
        <v>2230</v>
      </c>
      <c r="J1476" s="80"/>
      <c r="K1476" s="80">
        <f>SUM(I1476:J1476)</f>
        <v>2230</v>
      </c>
      <c r="L1476" s="80"/>
    </row>
    <row r="1477" spans="1:12" s="82" customFormat="1" ht="13.5" customHeight="1" hidden="1">
      <c r="A1477" s="407"/>
      <c r="C1477" s="149"/>
      <c r="D1477" s="446" t="s">
        <v>6</v>
      </c>
      <c r="E1477" s="446"/>
      <c r="F1477" s="446"/>
      <c r="G1477" s="446"/>
      <c r="H1477" s="446"/>
      <c r="I1477" s="29"/>
      <c r="J1477" s="80"/>
      <c r="K1477" s="80">
        <f>SUM(I1477:J1477)</f>
        <v>0</v>
      </c>
      <c r="L1477" s="80"/>
    </row>
    <row r="1478" spans="1:12" s="82" customFormat="1" ht="13.5" customHeight="1" hidden="1">
      <c r="A1478" s="407"/>
      <c r="C1478" s="149"/>
      <c r="D1478" s="446" t="s">
        <v>7</v>
      </c>
      <c r="E1478" s="446"/>
      <c r="F1478" s="446"/>
      <c r="G1478" s="446"/>
      <c r="H1478" s="446"/>
      <c r="I1478" s="29"/>
      <c r="J1478" s="80"/>
      <c r="K1478" s="80">
        <f>SUM(I1478:J1478)</f>
        <v>0</v>
      </c>
      <c r="L1478" s="80"/>
    </row>
    <row r="1479" spans="1:12" s="82" customFormat="1" ht="13.5" customHeight="1">
      <c r="A1479" s="407"/>
      <c r="C1479" s="149"/>
      <c r="D1479" s="447" t="s">
        <v>38</v>
      </c>
      <c r="E1479" s="447"/>
      <c r="F1479" s="447"/>
      <c r="G1479" s="447"/>
      <c r="H1479" s="447"/>
      <c r="I1479" s="254">
        <f>SUM(I1480:I1485)</f>
        <v>2230</v>
      </c>
      <c r="J1479" s="254">
        <f>SUM(J1480:J1485)</f>
        <v>0</v>
      </c>
      <c r="K1479" s="254">
        <f>SUM(K1480:K1485)</f>
        <v>2230</v>
      </c>
      <c r="L1479" s="80"/>
    </row>
    <row r="1480" spans="1:12" s="82" customFormat="1" ht="13.5" customHeight="1" hidden="1">
      <c r="A1480" s="407"/>
      <c r="C1480" s="149"/>
      <c r="D1480" s="446" t="s">
        <v>289</v>
      </c>
      <c r="E1480" s="446"/>
      <c r="F1480" s="446"/>
      <c r="G1480" s="446"/>
      <c r="H1480" s="446"/>
      <c r="I1480" s="29"/>
      <c r="J1480" s="80"/>
      <c r="K1480" s="80">
        <f aca="true" t="shared" si="99" ref="K1480:K1485">SUM(I1480:J1480)</f>
        <v>0</v>
      </c>
      <c r="L1480" s="80"/>
    </row>
    <row r="1481" spans="1:12" s="82" customFormat="1" ht="12.75" customHeight="1">
      <c r="A1481" s="407"/>
      <c r="C1481" s="149"/>
      <c r="D1481" s="444" t="s">
        <v>8</v>
      </c>
      <c r="E1481" s="448"/>
      <c r="F1481" s="448"/>
      <c r="G1481" s="448"/>
      <c r="H1481" s="448"/>
      <c r="I1481" s="29">
        <v>2230</v>
      </c>
      <c r="J1481" s="80"/>
      <c r="K1481" s="80">
        <f t="shared" si="99"/>
        <v>2230</v>
      </c>
      <c r="L1481" s="80"/>
    </row>
    <row r="1482" spans="1:12" s="82" customFormat="1" ht="13.5" customHeight="1" hidden="1">
      <c r="A1482" s="407"/>
      <c r="C1482" s="149"/>
      <c r="D1482" s="444" t="s">
        <v>10</v>
      </c>
      <c r="E1482" s="444"/>
      <c r="F1482" s="444"/>
      <c r="G1482" s="444"/>
      <c r="H1482" s="444"/>
      <c r="I1482" s="29"/>
      <c r="J1482" s="80"/>
      <c r="K1482" s="80">
        <f t="shared" si="99"/>
        <v>0</v>
      </c>
      <c r="L1482" s="80"/>
    </row>
    <row r="1483" spans="1:13" s="79" customFormat="1" ht="13.5" customHeight="1" hidden="1">
      <c r="A1483" s="407"/>
      <c r="C1483" s="151"/>
      <c r="D1483" s="444" t="s">
        <v>9</v>
      </c>
      <c r="E1483" s="444"/>
      <c r="F1483" s="444"/>
      <c r="G1483" s="444"/>
      <c r="H1483" s="444"/>
      <c r="I1483" s="29"/>
      <c r="J1483" s="78"/>
      <c r="K1483" s="80">
        <f t="shared" si="99"/>
        <v>0</v>
      </c>
      <c r="L1483" s="80"/>
      <c r="M1483" s="82"/>
    </row>
    <row r="1484" spans="1:12" s="82" customFormat="1" ht="13.5" customHeight="1" hidden="1">
      <c r="A1484" s="407"/>
      <c r="C1484" s="149"/>
      <c r="D1484" s="444" t="s">
        <v>11</v>
      </c>
      <c r="E1484" s="444"/>
      <c r="F1484" s="444"/>
      <c r="G1484" s="444"/>
      <c r="H1484" s="444"/>
      <c r="I1484" s="29"/>
      <c r="J1484" s="80"/>
      <c r="K1484" s="80">
        <f t="shared" si="99"/>
        <v>0</v>
      </c>
      <c r="L1484" s="80"/>
    </row>
    <row r="1485" spans="1:13" s="79" customFormat="1" ht="13.5" customHeight="1" hidden="1">
      <c r="A1485" s="407"/>
      <c r="C1485" s="151"/>
      <c r="D1485" s="444" t="s">
        <v>12</v>
      </c>
      <c r="E1485" s="444"/>
      <c r="F1485" s="444"/>
      <c r="G1485" s="444"/>
      <c r="H1485" s="444"/>
      <c r="I1485" s="29"/>
      <c r="J1485" s="78"/>
      <c r="K1485" s="80">
        <f t="shared" si="99"/>
        <v>0</v>
      </c>
      <c r="L1485" s="80"/>
      <c r="M1485" s="82"/>
    </row>
    <row r="1486" spans="1:13" s="79" customFormat="1" ht="13.5" customHeight="1">
      <c r="A1486" s="407"/>
      <c r="C1486" s="151"/>
      <c r="D1486" s="445" t="s">
        <v>277</v>
      </c>
      <c r="E1486" s="445"/>
      <c r="F1486" s="445"/>
      <c r="G1486" s="445"/>
      <c r="H1486" s="445"/>
      <c r="I1486" s="77">
        <f>I1475-I1479</f>
        <v>0</v>
      </c>
      <c r="J1486" s="77">
        <f>J1475-J1479</f>
        <v>0</v>
      </c>
      <c r="K1486" s="77">
        <f>K1475-K1479</f>
        <v>0</v>
      </c>
      <c r="L1486" s="80"/>
      <c r="M1486" s="82"/>
    </row>
    <row r="1487" spans="1:13" s="79" customFormat="1" ht="12.75" customHeight="1">
      <c r="A1487" s="407"/>
      <c r="C1487" s="151"/>
      <c r="D1487" s="444" t="s">
        <v>279</v>
      </c>
      <c r="E1487" s="444"/>
      <c r="F1487" s="444"/>
      <c r="G1487" s="444"/>
      <c r="H1487" s="444"/>
      <c r="I1487" s="29">
        <f>I1488+I1489+I1490</f>
        <v>0</v>
      </c>
      <c r="J1487" s="29">
        <f>J1488+J1489+J1490</f>
        <v>0</v>
      </c>
      <c r="K1487" s="29">
        <f>K1488+K1489+K1490</f>
        <v>0</v>
      </c>
      <c r="L1487" s="80"/>
      <c r="M1487" s="82"/>
    </row>
    <row r="1488" spans="1:13" s="79" customFormat="1" ht="13.5" customHeight="1" hidden="1">
      <c r="A1488" s="407"/>
      <c r="C1488" s="151"/>
      <c r="D1488" s="444" t="s">
        <v>278</v>
      </c>
      <c r="E1488" s="444"/>
      <c r="F1488" s="444"/>
      <c r="G1488" s="444"/>
      <c r="H1488" s="444"/>
      <c r="I1488" s="29"/>
      <c r="J1488" s="77"/>
      <c r="K1488" s="80">
        <f>SUM(I1488:J1488)</f>
        <v>0</v>
      </c>
      <c r="L1488" s="80"/>
      <c r="M1488" s="82"/>
    </row>
    <row r="1489" spans="1:13" s="79" customFormat="1" ht="13.5" customHeight="1" hidden="1">
      <c r="A1489" s="407"/>
      <c r="C1489" s="151"/>
      <c r="D1489" s="444" t="s">
        <v>280</v>
      </c>
      <c r="E1489" s="444"/>
      <c r="F1489" s="444"/>
      <c r="G1489" s="444"/>
      <c r="H1489" s="444"/>
      <c r="I1489" s="29"/>
      <c r="J1489" s="77"/>
      <c r="K1489" s="80">
        <f>SUM(I1489:J1489)</f>
        <v>0</v>
      </c>
      <c r="L1489" s="80"/>
      <c r="M1489" s="82"/>
    </row>
    <row r="1490" spans="1:13" s="79" customFormat="1" ht="13.5" customHeight="1" hidden="1">
      <c r="A1490" s="407"/>
      <c r="C1490" s="151"/>
      <c r="D1490" s="444" t="s">
        <v>281</v>
      </c>
      <c r="E1490" s="444"/>
      <c r="F1490" s="444"/>
      <c r="G1490" s="444"/>
      <c r="H1490" s="444"/>
      <c r="I1490" s="29"/>
      <c r="J1490" s="77"/>
      <c r="K1490" s="80">
        <f>SUM(I1490:J1490)</f>
        <v>0</v>
      </c>
      <c r="L1490" s="80"/>
      <c r="M1490" s="82"/>
    </row>
    <row r="1491" spans="1:13" s="79" customFormat="1" ht="8.25" customHeight="1" hidden="1">
      <c r="A1491" s="407"/>
      <c r="C1491" s="151"/>
      <c r="D1491" s="85"/>
      <c r="E1491" s="85"/>
      <c r="F1491" s="85"/>
      <c r="G1491" s="85"/>
      <c r="H1491" s="85"/>
      <c r="I1491" s="29"/>
      <c r="J1491" s="78"/>
      <c r="K1491" s="77"/>
      <c r="L1491" s="80"/>
      <c r="M1491" s="82"/>
    </row>
    <row r="1492" spans="1:12" s="33" customFormat="1" ht="13.5" customHeight="1" hidden="1">
      <c r="A1492" s="410"/>
      <c r="C1492" s="152"/>
      <c r="D1492" s="34"/>
      <c r="E1492" s="34"/>
      <c r="F1492" s="34"/>
      <c r="G1492" s="34"/>
      <c r="H1492" s="34"/>
      <c r="I1492" s="29"/>
      <c r="J1492" s="80"/>
      <c r="K1492" s="80"/>
      <c r="L1492" s="175"/>
    </row>
    <row r="1493" spans="1:12" s="147" customFormat="1" ht="13.5" customHeight="1" hidden="1">
      <c r="A1493" s="410"/>
      <c r="C1493" s="148" t="s">
        <v>65</v>
      </c>
      <c r="D1493" s="454" t="s">
        <v>392</v>
      </c>
      <c r="E1493" s="454"/>
      <c r="F1493" s="454"/>
      <c r="G1493" s="454"/>
      <c r="H1493" s="454"/>
      <c r="I1493" s="129"/>
      <c r="J1493" s="127"/>
      <c r="K1493" s="127"/>
      <c r="L1493" s="245"/>
    </row>
    <row r="1494" spans="1:12" s="33" customFormat="1" ht="13.5" customHeight="1" hidden="1">
      <c r="A1494" s="410"/>
      <c r="C1494" s="161"/>
      <c r="D1494" s="447" t="s">
        <v>37</v>
      </c>
      <c r="E1494" s="447"/>
      <c r="F1494" s="447"/>
      <c r="G1494" s="447"/>
      <c r="H1494" s="447"/>
      <c r="I1494" s="77">
        <f>SUM(I1495:I1497)</f>
        <v>0</v>
      </c>
      <c r="J1494" s="77">
        <f>SUM(J1495:J1497)</f>
        <v>0</v>
      </c>
      <c r="K1494" s="77">
        <f>SUM(K1495:K1497)</f>
        <v>0</v>
      </c>
      <c r="L1494" s="175"/>
    </row>
    <row r="1495" spans="1:12" s="33" customFormat="1" ht="13.5" customHeight="1" hidden="1">
      <c r="A1495" s="410"/>
      <c r="C1495" s="151"/>
      <c r="D1495" s="446" t="s">
        <v>5</v>
      </c>
      <c r="E1495" s="446"/>
      <c r="F1495" s="446"/>
      <c r="G1495" s="446"/>
      <c r="H1495" s="446"/>
      <c r="I1495" s="29"/>
      <c r="J1495" s="29"/>
      <c r="K1495" s="29">
        <f>SUM(I1495:J1495)</f>
        <v>0</v>
      </c>
      <c r="L1495" s="175"/>
    </row>
    <row r="1496" spans="1:12" s="33" customFormat="1" ht="13.5" customHeight="1" hidden="1">
      <c r="A1496" s="410"/>
      <c r="C1496" s="151"/>
      <c r="D1496" s="446" t="s">
        <v>6</v>
      </c>
      <c r="E1496" s="446"/>
      <c r="F1496" s="446"/>
      <c r="G1496" s="446"/>
      <c r="H1496" s="446"/>
      <c r="I1496" s="29"/>
      <c r="J1496" s="77"/>
      <c r="K1496" s="29">
        <f>SUM(I1496:J1496)</f>
        <v>0</v>
      </c>
      <c r="L1496" s="175"/>
    </row>
    <row r="1497" spans="1:12" s="33" customFormat="1" ht="13.5" customHeight="1" hidden="1">
      <c r="A1497" s="410"/>
      <c r="C1497" s="151"/>
      <c r="D1497" s="446" t="s">
        <v>7</v>
      </c>
      <c r="E1497" s="446"/>
      <c r="F1497" s="446"/>
      <c r="G1497" s="446"/>
      <c r="H1497" s="446"/>
      <c r="I1497" s="29"/>
      <c r="J1497" s="77"/>
      <c r="K1497" s="29">
        <f>SUM(I1497:J1497)</f>
        <v>0</v>
      </c>
      <c r="L1497" s="175"/>
    </row>
    <row r="1498" spans="1:12" s="33" customFormat="1" ht="13.5" customHeight="1" hidden="1">
      <c r="A1498" s="410"/>
      <c r="C1498" s="151"/>
      <c r="D1498" s="447" t="s">
        <v>38</v>
      </c>
      <c r="E1498" s="447"/>
      <c r="F1498" s="447"/>
      <c r="G1498" s="447"/>
      <c r="H1498" s="447"/>
      <c r="I1498" s="253">
        <f>SUM(I1499:I1504)</f>
        <v>0</v>
      </c>
      <c r="J1498" s="253">
        <f>SUM(J1499:J1504)</f>
        <v>0</v>
      </c>
      <c r="K1498" s="253">
        <f>SUM(K1499:K1504)</f>
        <v>0</v>
      </c>
      <c r="L1498" s="175"/>
    </row>
    <row r="1499" spans="1:12" s="33" customFormat="1" ht="13.5" customHeight="1" hidden="1">
      <c r="A1499" s="410"/>
      <c r="C1499" s="151"/>
      <c r="D1499" s="446" t="s">
        <v>289</v>
      </c>
      <c r="E1499" s="446"/>
      <c r="F1499" s="446"/>
      <c r="G1499" s="446"/>
      <c r="H1499" s="446"/>
      <c r="I1499" s="29"/>
      <c r="J1499" s="29"/>
      <c r="K1499" s="29">
        <f aca="true" t="shared" si="100" ref="K1499:K1504">SUM(I1499:J1499)</f>
        <v>0</v>
      </c>
      <c r="L1499" s="175"/>
    </row>
    <row r="1500" spans="1:12" s="33" customFormat="1" ht="13.5" customHeight="1" hidden="1">
      <c r="A1500" s="410"/>
      <c r="C1500" s="151"/>
      <c r="D1500" s="444" t="s">
        <v>8</v>
      </c>
      <c r="E1500" s="448"/>
      <c r="F1500" s="448"/>
      <c r="G1500" s="448"/>
      <c r="H1500" s="448"/>
      <c r="I1500" s="29"/>
      <c r="J1500" s="77"/>
      <c r="K1500" s="29">
        <f t="shared" si="100"/>
        <v>0</v>
      </c>
      <c r="L1500" s="175"/>
    </row>
    <row r="1501" spans="1:12" s="33" customFormat="1" ht="13.5" customHeight="1" hidden="1">
      <c r="A1501" s="410"/>
      <c r="C1501" s="151"/>
      <c r="D1501" s="444" t="s">
        <v>10</v>
      </c>
      <c r="E1501" s="444"/>
      <c r="F1501" s="444"/>
      <c r="G1501" s="444"/>
      <c r="H1501" s="444"/>
      <c r="I1501" s="29"/>
      <c r="J1501" s="77"/>
      <c r="K1501" s="29">
        <f t="shared" si="100"/>
        <v>0</v>
      </c>
      <c r="L1501" s="175"/>
    </row>
    <row r="1502" spans="1:12" s="33" customFormat="1" ht="13.5" customHeight="1" hidden="1">
      <c r="A1502" s="410"/>
      <c r="C1502" s="151"/>
      <c r="D1502" s="444" t="s">
        <v>9</v>
      </c>
      <c r="E1502" s="444"/>
      <c r="F1502" s="444"/>
      <c r="G1502" s="444"/>
      <c r="H1502" s="444"/>
      <c r="I1502" s="29"/>
      <c r="J1502" s="77"/>
      <c r="K1502" s="29">
        <f t="shared" si="100"/>
        <v>0</v>
      </c>
      <c r="L1502" s="175"/>
    </row>
    <row r="1503" spans="1:12" s="33" customFormat="1" ht="13.5" customHeight="1" hidden="1">
      <c r="A1503" s="410"/>
      <c r="C1503" s="149"/>
      <c r="D1503" s="444" t="s">
        <v>11</v>
      </c>
      <c r="E1503" s="444"/>
      <c r="F1503" s="444"/>
      <c r="G1503" s="444"/>
      <c r="H1503" s="444"/>
      <c r="I1503" s="29"/>
      <c r="J1503" s="80"/>
      <c r="K1503" s="29">
        <f t="shared" si="100"/>
        <v>0</v>
      </c>
      <c r="L1503" s="175"/>
    </row>
    <row r="1504" spans="1:12" s="33" customFormat="1" ht="13.5" customHeight="1" hidden="1">
      <c r="A1504" s="410"/>
      <c r="C1504" s="151"/>
      <c r="D1504" s="444" t="s">
        <v>12</v>
      </c>
      <c r="E1504" s="444"/>
      <c r="F1504" s="444"/>
      <c r="G1504" s="444"/>
      <c r="H1504" s="444"/>
      <c r="I1504" s="29"/>
      <c r="J1504" s="77"/>
      <c r="K1504" s="29">
        <f t="shared" si="100"/>
        <v>0</v>
      </c>
      <c r="L1504" s="175"/>
    </row>
    <row r="1505" spans="1:12" s="33" customFormat="1" ht="13.5" customHeight="1" hidden="1">
      <c r="A1505" s="410"/>
      <c r="C1505" s="151"/>
      <c r="D1505" s="445" t="s">
        <v>277</v>
      </c>
      <c r="E1505" s="445"/>
      <c r="F1505" s="445"/>
      <c r="G1505" s="445"/>
      <c r="H1505" s="445"/>
      <c r="I1505" s="77">
        <f>I1494-I1498</f>
        <v>0</v>
      </c>
      <c r="J1505" s="77">
        <f>J1494-J1498</f>
        <v>0</v>
      </c>
      <c r="K1505" s="77">
        <f>K1494-K1498</f>
        <v>0</v>
      </c>
      <c r="L1505" s="175"/>
    </row>
    <row r="1506" spans="1:12" s="33" customFormat="1" ht="13.5" customHeight="1" hidden="1">
      <c r="A1506" s="410"/>
      <c r="C1506" s="151"/>
      <c r="D1506" s="444" t="s">
        <v>279</v>
      </c>
      <c r="E1506" s="444"/>
      <c r="F1506" s="444"/>
      <c r="G1506" s="444"/>
      <c r="H1506" s="444"/>
      <c r="I1506" s="29">
        <f>I1507+I1508+I1509</f>
        <v>0</v>
      </c>
      <c r="J1506" s="29">
        <f>J1507+J1508+J1509</f>
        <v>0</v>
      </c>
      <c r="K1506" s="29">
        <f>K1507+K1508+K1509</f>
        <v>0</v>
      </c>
      <c r="L1506" s="175"/>
    </row>
    <row r="1507" spans="1:12" s="33" customFormat="1" ht="13.5" customHeight="1" hidden="1">
      <c r="A1507" s="410"/>
      <c r="C1507" s="151"/>
      <c r="D1507" s="444" t="s">
        <v>278</v>
      </c>
      <c r="E1507" s="444"/>
      <c r="F1507" s="444"/>
      <c r="G1507" s="444"/>
      <c r="H1507" s="444"/>
      <c r="I1507" s="29"/>
      <c r="J1507" s="77"/>
      <c r="K1507" s="80">
        <f>SUM(I1507:J1507)</f>
        <v>0</v>
      </c>
      <c r="L1507" s="175"/>
    </row>
    <row r="1508" spans="1:12" s="33" customFormat="1" ht="13.5" customHeight="1" hidden="1">
      <c r="A1508" s="410"/>
      <c r="C1508" s="151"/>
      <c r="D1508" s="444" t="s">
        <v>280</v>
      </c>
      <c r="E1508" s="444"/>
      <c r="F1508" s="444"/>
      <c r="G1508" s="444"/>
      <c r="H1508" s="444"/>
      <c r="I1508" s="29"/>
      <c r="J1508" s="77"/>
      <c r="K1508" s="80">
        <f>SUM(I1508:J1508)</f>
        <v>0</v>
      </c>
      <c r="L1508" s="175"/>
    </row>
    <row r="1509" spans="1:12" s="33" customFormat="1" ht="13.5" customHeight="1" hidden="1">
      <c r="A1509" s="410"/>
      <c r="C1509" s="151"/>
      <c r="D1509" s="444" t="s">
        <v>281</v>
      </c>
      <c r="E1509" s="444"/>
      <c r="F1509" s="444"/>
      <c r="G1509" s="444"/>
      <c r="H1509" s="444"/>
      <c r="I1509" s="29"/>
      <c r="J1509" s="77"/>
      <c r="K1509" s="80">
        <f>SUM(I1509:J1509)</f>
        <v>0</v>
      </c>
      <c r="L1509" s="175"/>
    </row>
    <row r="1510" spans="1:12" s="33" customFormat="1" ht="6.75" customHeight="1" hidden="1">
      <c r="A1510" s="410"/>
      <c r="C1510" s="151"/>
      <c r="D1510" s="85"/>
      <c r="E1510" s="85"/>
      <c r="F1510" s="85"/>
      <c r="G1510" s="85"/>
      <c r="H1510" s="85"/>
      <c r="I1510" s="29"/>
      <c r="J1510" s="77"/>
      <c r="K1510" s="77"/>
      <c r="L1510" s="175"/>
    </row>
    <row r="1511" spans="1:12" s="147" customFormat="1" ht="13.5" customHeight="1" hidden="1">
      <c r="A1511" s="410"/>
      <c r="C1511" s="159" t="s">
        <v>3</v>
      </c>
      <c r="D1511" s="450" t="s">
        <v>2</v>
      </c>
      <c r="E1511" s="450"/>
      <c r="F1511" s="450"/>
      <c r="G1511" s="450"/>
      <c r="H1511" s="450"/>
      <c r="I1511" s="129"/>
      <c r="J1511" s="17"/>
      <c r="K1511" s="17"/>
      <c r="L1511" s="245"/>
    </row>
    <row r="1512" spans="1:12" s="33" customFormat="1" ht="13.5" customHeight="1" hidden="1">
      <c r="A1512" s="410"/>
      <c r="C1512" s="161"/>
      <c r="D1512" s="447" t="s">
        <v>37</v>
      </c>
      <c r="E1512" s="447"/>
      <c r="F1512" s="447"/>
      <c r="G1512" s="447"/>
      <c r="H1512" s="447"/>
      <c r="I1512" s="77">
        <f>I1513+I1514+I1515</f>
        <v>0</v>
      </c>
      <c r="J1512" s="77">
        <f>J1513+J1514+J1515</f>
        <v>0</v>
      </c>
      <c r="K1512" s="77">
        <f>K1513+K1514+K1515</f>
        <v>0</v>
      </c>
      <c r="L1512" s="175"/>
    </row>
    <row r="1513" spans="1:13" s="33" customFormat="1" ht="13.5" customHeight="1" hidden="1">
      <c r="A1513" s="410"/>
      <c r="C1513" s="161"/>
      <c r="D1513" s="446" t="s">
        <v>5</v>
      </c>
      <c r="E1513" s="446"/>
      <c r="F1513" s="446"/>
      <c r="G1513" s="446"/>
      <c r="H1513" s="446"/>
      <c r="I1513" s="29"/>
      <c r="J1513" s="29"/>
      <c r="K1513" s="29">
        <f>SUM(I1513:J1513)</f>
        <v>0</v>
      </c>
      <c r="L1513" s="80"/>
      <c r="M1513" s="29"/>
    </row>
    <row r="1514" spans="1:12" s="33" customFormat="1" ht="13.5" customHeight="1" hidden="1">
      <c r="A1514" s="410"/>
      <c r="C1514" s="161"/>
      <c r="D1514" s="446" t="s">
        <v>6</v>
      </c>
      <c r="E1514" s="446"/>
      <c r="F1514" s="446"/>
      <c r="G1514" s="446"/>
      <c r="H1514" s="446"/>
      <c r="I1514" s="29"/>
      <c r="J1514" s="29"/>
      <c r="K1514" s="29">
        <f>SUM(I1514:J1514)</f>
        <v>0</v>
      </c>
      <c r="L1514" s="80"/>
    </row>
    <row r="1515" spans="1:13" s="33" customFormat="1" ht="13.5" customHeight="1" hidden="1">
      <c r="A1515" s="410"/>
      <c r="C1515" s="161"/>
      <c r="D1515" s="446" t="s">
        <v>7</v>
      </c>
      <c r="E1515" s="446"/>
      <c r="F1515" s="446"/>
      <c r="G1515" s="446"/>
      <c r="H1515" s="446"/>
      <c r="I1515" s="29"/>
      <c r="J1515" s="29"/>
      <c r="K1515" s="29">
        <f>SUM(I1515:J1515)</f>
        <v>0</v>
      </c>
      <c r="L1515" s="80"/>
      <c r="M1515" s="82"/>
    </row>
    <row r="1516" spans="1:13" s="33" customFormat="1" ht="13.5" customHeight="1" hidden="1">
      <c r="A1516" s="410"/>
      <c r="C1516" s="161"/>
      <c r="D1516" s="447" t="s">
        <v>38</v>
      </c>
      <c r="E1516" s="447"/>
      <c r="F1516" s="447"/>
      <c r="G1516" s="447"/>
      <c r="H1516" s="447"/>
      <c r="I1516" s="253">
        <f>I1517+I1518+I1519+I1520+I1521+I1522</f>
        <v>0</v>
      </c>
      <c r="J1516" s="253">
        <f>J1517+J1518+J1519+J1520+J1521+J1522</f>
        <v>0</v>
      </c>
      <c r="K1516" s="253">
        <f>K1517+K1518+K1519+K1520+K1521+K1522</f>
        <v>0</v>
      </c>
      <c r="L1516" s="80"/>
      <c r="M1516" s="82"/>
    </row>
    <row r="1517" spans="1:13" s="33" customFormat="1" ht="13.5" customHeight="1" hidden="1">
      <c r="A1517" s="410"/>
      <c r="C1517" s="161"/>
      <c r="D1517" s="446" t="s">
        <v>289</v>
      </c>
      <c r="E1517" s="446"/>
      <c r="F1517" s="446"/>
      <c r="G1517" s="446"/>
      <c r="H1517" s="446"/>
      <c r="I1517" s="29"/>
      <c r="J1517" s="29"/>
      <c r="K1517" s="29">
        <f aca="true" t="shared" si="101" ref="K1517:K1522">SUM(I1517:J1517)</f>
        <v>0</v>
      </c>
      <c r="L1517" s="80"/>
      <c r="M1517" s="82"/>
    </row>
    <row r="1518" spans="1:12" s="33" customFormat="1" ht="13.5" customHeight="1" hidden="1">
      <c r="A1518" s="410"/>
      <c r="C1518" s="151"/>
      <c r="D1518" s="444" t="s">
        <v>8</v>
      </c>
      <c r="E1518" s="448"/>
      <c r="F1518" s="448"/>
      <c r="G1518" s="448"/>
      <c r="H1518" s="448"/>
      <c r="I1518" s="29"/>
      <c r="J1518" s="29"/>
      <c r="K1518" s="29">
        <f t="shared" si="101"/>
        <v>0</v>
      </c>
      <c r="L1518" s="175"/>
    </row>
    <row r="1519" spans="1:12" s="33" customFormat="1" ht="13.5" customHeight="1" hidden="1">
      <c r="A1519" s="410"/>
      <c r="C1519" s="151"/>
      <c r="D1519" s="444" t="s">
        <v>10</v>
      </c>
      <c r="E1519" s="444"/>
      <c r="F1519" s="444"/>
      <c r="G1519" s="444"/>
      <c r="H1519" s="444"/>
      <c r="I1519" s="29"/>
      <c r="J1519" s="29"/>
      <c r="K1519" s="29">
        <f t="shared" si="101"/>
        <v>0</v>
      </c>
      <c r="L1519" s="175"/>
    </row>
    <row r="1520" spans="1:12" s="33" customFormat="1" ht="13.5" customHeight="1" hidden="1">
      <c r="A1520" s="410"/>
      <c r="C1520" s="151"/>
      <c r="D1520" s="444" t="s">
        <v>9</v>
      </c>
      <c r="E1520" s="444"/>
      <c r="F1520" s="444"/>
      <c r="G1520" s="444"/>
      <c r="H1520" s="444"/>
      <c r="I1520" s="29"/>
      <c r="J1520" s="29"/>
      <c r="K1520" s="29">
        <f t="shared" si="101"/>
        <v>0</v>
      </c>
      <c r="L1520" s="175"/>
    </row>
    <row r="1521" spans="1:12" s="33" customFormat="1" ht="13.5" customHeight="1" hidden="1">
      <c r="A1521" s="410"/>
      <c r="C1521" s="149"/>
      <c r="D1521" s="444" t="s">
        <v>11</v>
      </c>
      <c r="E1521" s="444"/>
      <c r="F1521" s="444"/>
      <c r="G1521" s="444"/>
      <c r="H1521" s="444"/>
      <c r="I1521" s="29"/>
      <c r="J1521" s="29"/>
      <c r="K1521" s="29">
        <f t="shared" si="101"/>
        <v>0</v>
      </c>
      <c r="L1521" s="175"/>
    </row>
    <row r="1522" spans="1:12" s="33" customFormat="1" ht="13.5" customHeight="1" hidden="1">
      <c r="A1522" s="410"/>
      <c r="C1522" s="149"/>
      <c r="D1522" s="444" t="s">
        <v>12</v>
      </c>
      <c r="E1522" s="444"/>
      <c r="F1522" s="444"/>
      <c r="G1522" s="444"/>
      <c r="H1522" s="444"/>
      <c r="I1522" s="29"/>
      <c r="J1522" s="29"/>
      <c r="K1522" s="29">
        <f t="shared" si="101"/>
        <v>0</v>
      </c>
      <c r="L1522" s="175"/>
    </row>
    <row r="1523" spans="1:12" s="33" customFormat="1" ht="13.5" customHeight="1" hidden="1">
      <c r="A1523" s="410"/>
      <c r="C1523" s="149"/>
      <c r="D1523" s="445" t="s">
        <v>277</v>
      </c>
      <c r="E1523" s="445"/>
      <c r="F1523" s="445"/>
      <c r="G1523" s="445"/>
      <c r="H1523" s="445"/>
      <c r="I1523" s="77">
        <f>I1512-I1516</f>
        <v>0</v>
      </c>
      <c r="J1523" s="77">
        <f>J1512-J1516</f>
        <v>0</v>
      </c>
      <c r="K1523" s="77">
        <f>K1512-K1516</f>
        <v>0</v>
      </c>
      <c r="L1523" s="175"/>
    </row>
    <row r="1524" spans="1:12" s="33" customFormat="1" ht="13.5" customHeight="1" hidden="1">
      <c r="A1524" s="410"/>
      <c r="C1524" s="149"/>
      <c r="D1524" s="444" t="s">
        <v>279</v>
      </c>
      <c r="E1524" s="444"/>
      <c r="F1524" s="444"/>
      <c r="G1524" s="444"/>
      <c r="H1524" s="444"/>
      <c r="I1524" s="29">
        <f>I1525+I1526+I1527</f>
        <v>0</v>
      </c>
      <c r="J1524" s="29">
        <f>J1525+J1526+J1527</f>
        <v>0</v>
      </c>
      <c r="K1524" s="29">
        <f>K1525+K1526+K1527</f>
        <v>0</v>
      </c>
      <c r="L1524" s="175"/>
    </row>
    <row r="1525" spans="1:12" s="33" customFormat="1" ht="13.5" customHeight="1" hidden="1">
      <c r="A1525" s="410"/>
      <c r="C1525" s="149"/>
      <c r="D1525" s="444" t="s">
        <v>278</v>
      </c>
      <c r="E1525" s="444"/>
      <c r="F1525" s="444"/>
      <c r="G1525" s="444"/>
      <c r="H1525" s="444"/>
      <c r="I1525" s="29"/>
      <c r="J1525" s="77"/>
      <c r="K1525" s="80">
        <f>SUM(I1525:J1525)</f>
        <v>0</v>
      </c>
      <c r="L1525" s="175"/>
    </row>
    <row r="1526" spans="1:12" s="33" customFormat="1" ht="13.5" customHeight="1" hidden="1">
      <c r="A1526" s="410"/>
      <c r="C1526" s="149"/>
      <c r="D1526" s="444" t="s">
        <v>280</v>
      </c>
      <c r="E1526" s="444"/>
      <c r="F1526" s="444"/>
      <c r="G1526" s="444"/>
      <c r="H1526" s="444"/>
      <c r="I1526" s="29"/>
      <c r="J1526" s="77"/>
      <c r="K1526" s="80">
        <f>SUM(I1526:J1526)</f>
        <v>0</v>
      </c>
      <c r="L1526" s="175"/>
    </row>
    <row r="1527" spans="1:12" s="33" customFormat="1" ht="13.5" customHeight="1" hidden="1">
      <c r="A1527" s="410"/>
      <c r="C1527" s="149"/>
      <c r="D1527" s="444" t="s">
        <v>281</v>
      </c>
      <c r="E1527" s="444"/>
      <c r="F1527" s="444"/>
      <c r="G1527" s="444"/>
      <c r="H1527" s="444"/>
      <c r="I1527" s="29"/>
      <c r="J1527" s="77"/>
      <c r="K1527" s="80">
        <f>SUM(I1527:J1527)</f>
        <v>0</v>
      </c>
      <c r="L1527" s="175"/>
    </row>
    <row r="1528" spans="1:12" s="33" customFormat="1" ht="13.5" customHeight="1" hidden="1">
      <c r="A1528" s="410"/>
      <c r="C1528" s="149"/>
      <c r="D1528" s="85"/>
      <c r="E1528" s="85"/>
      <c r="F1528" s="85"/>
      <c r="G1528" s="85"/>
      <c r="H1528" s="85"/>
      <c r="I1528" s="29"/>
      <c r="J1528" s="29"/>
      <c r="K1528" s="29"/>
      <c r="L1528" s="175"/>
    </row>
    <row r="1529" spans="1:12" s="33" customFormat="1" ht="24" customHeight="1">
      <c r="A1529" s="410"/>
      <c r="C1529" s="151"/>
      <c r="D1529" s="85"/>
      <c r="E1529" s="85"/>
      <c r="F1529" s="85"/>
      <c r="G1529" s="85"/>
      <c r="H1529" s="85"/>
      <c r="I1529" s="29"/>
      <c r="J1529" s="77"/>
      <c r="K1529" s="77"/>
      <c r="L1529" s="175"/>
    </row>
    <row r="1530" spans="1:13" s="15" customFormat="1" ht="13.5" customHeight="1">
      <c r="A1530" s="407"/>
      <c r="C1530" s="142" t="s">
        <v>69</v>
      </c>
      <c r="D1530" s="450" t="s">
        <v>251</v>
      </c>
      <c r="E1530" s="450"/>
      <c r="F1530" s="450"/>
      <c r="G1530" s="450"/>
      <c r="H1530" s="450"/>
      <c r="I1530" s="17"/>
      <c r="J1530" s="126"/>
      <c r="K1530" s="126"/>
      <c r="L1530" s="127"/>
      <c r="M1530" s="95"/>
    </row>
    <row r="1531" spans="1:13" s="79" customFormat="1" ht="11.25" customHeight="1">
      <c r="A1531" s="407"/>
      <c r="C1531" s="154"/>
      <c r="D1531" s="447" t="s">
        <v>37</v>
      </c>
      <c r="E1531" s="447"/>
      <c r="F1531" s="447"/>
      <c r="G1531" s="447"/>
      <c r="H1531" s="447"/>
      <c r="I1531" s="77">
        <f>SUM(I1532:I1534)</f>
        <v>389632</v>
      </c>
      <c r="J1531" s="77">
        <f>SUM(J1532:J1534)</f>
        <v>15256</v>
      </c>
      <c r="K1531" s="77">
        <f>SUM(K1532:K1534)</f>
        <v>404888</v>
      </c>
      <c r="L1531" s="80"/>
      <c r="M1531" s="82"/>
    </row>
    <row r="1532" spans="1:13" s="79" customFormat="1" ht="13.5" customHeight="1">
      <c r="A1532" s="407"/>
      <c r="C1532" s="154"/>
      <c r="D1532" s="446" t="s">
        <v>5</v>
      </c>
      <c r="E1532" s="446"/>
      <c r="F1532" s="446"/>
      <c r="G1532" s="446"/>
      <c r="H1532" s="446"/>
      <c r="I1532" s="29">
        <f>110511+150000+28435+43432+4009</f>
        <v>336387</v>
      </c>
      <c r="J1532" s="80">
        <f>15256</f>
        <v>15256</v>
      </c>
      <c r="K1532" s="80">
        <f>SUM(I1532:J1532)</f>
        <v>351643</v>
      </c>
      <c r="L1532" s="80"/>
      <c r="M1532" s="82"/>
    </row>
    <row r="1533" spans="1:13" s="79" customFormat="1" ht="12.75" customHeight="1">
      <c r="A1533" s="407"/>
      <c r="C1533" s="154"/>
      <c r="D1533" s="446" t="s">
        <v>6</v>
      </c>
      <c r="E1533" s="446"/>
      <c r="F1533" s="446"/>
      <c r="G1533" s="446"/>
      <c r="H1533" s="446"/>
      <c r="I1533" s="29">
        <v>53245</v>
      </c>
      <c r="J1533" s="80"/>
      <c r="K1533" s="80">
        <f>SUM(I1533:J1533)</f>
        <v>53245</v>
      </c>
      <c r="L1533" s="80"/>
      <c r="M1533" s="82"/>
    </row>
    <row r="1534" spans="1:13" s="79" customFormat="1" ht="13.5" customHeight="1" hidden="1">
      <c r="A1534" s="407"/>
      <c r="C1534" s="154"/>
      <c r="D1534" s="446" t="s">
        <v>7</v>
      </c>
      <c r="E1534" s="446"/>
      <c r="F1534" s="446"/>
      <c r="G1534" s="446"/>
      <c r="H1534" s="446"/>
      <c r="I1534" s="29"/>
      <c r="J1534" s="78"/>
      <c r="K1534" s="80">
        <f>SUM(I1534:J1534)</f>
        <v>0</v>
      </c>
      <c r="L1534" s="80"/>
      <c r="M1534" s="82"/>
    </row>
    <row r="1535" spans="1:13" s="79" customFormat="1" ht="12" customHeight="1">
      <c r="A1535" s="407"/>
      <c r="C1535" s="154"/>
      <c r="D1535" s="447" t="s">
        <v>38</v>
      </c>
      <c r="E1535" s="447"/>
      <c r="F1535" s="447"/>
      <c r="G1535" s="447"/>
      <c r="H1535" s="447"/>
      <c r="I1535" s="253">
        <f>SUM(I1536:I1541)</f>
        <v>390706</v>
      </c>
      <c r="J1535" s="253">
        <f>SUM(J1536:J1541)</f>
        <v>15256</v>
      </c>
      <c r="K1535" s="253">
        <f>SUM(K1536:K1541)</f>
        <v>405962</v>
      </c>
      <c r="L1535" s="80"/>
      <c r="M1535" s="82"/>
    </row>
    <row r="1536" spans="1:13" s="79" customFormat="1" ht="11.25" customHeight="1">
      <c r="A1536" s="407"/>
      <c r="C1536" s="154"/>
      <c r="D1536" s="446" t="s">
        <v>289</v>
      </c>
      <c r="E1536" s="446"/>
      <c r="F1536" s="446"/>
      <c r="G1536" s="446"/>
      <c r="H1536" s="446"/>
      <c r="I1536" s="29">
        <f>80264+1396-4468</f>
        <v>77192</v>
      </c>
      <c r="J1536" s="80">
        <f>1256+6250</f>
        <v>7506</v>
      </c>
      <c r="K1536" s="80">
        <f aca="true" t="shared" si="102" ref="K1536:K1541">SUM(I1536:J1536)</f>
        <v>84698</v>
      </c>
      <c r="L1536" s="80"/>
      <c r="M1536" s="82"/>
    </row>
    <row r="1537" spans="1:13" s="79" customFormat="1" ht="13.5" customHeight="1">
      <c r="A1537" s="407"/>
      <c r="C1537" s="154"/>
      <c r="D1537" s="444" t="s">
        <v>8</v>
      </c>
      <c r="E1537" s="448"/>
      <c r="F1537" s="448"/>
      <c r="G1537" s="448"/>
      <c r="H1537" s="448"/>
      <c r="I1537" s="29">
        <f>30247+41293</f>
        <v>71540</v>
      </c>
      <c r="J1537" s="80">
        <f>6000</f>
        <v>6000</v>
      </c>
      <c r="K1537" s="80">
        <f t="shared" si="102"/>
        <v>77540</v>
      </c>
      <c r="L1537" s="80"/>
      <c r="M1537" s="82"/>
    </row>
    <row r="1538" spans="1:13" s="79" customFormat="1" ht="13.5" customHeight="1" hidden="1">
      <c r="A1538" s="407"/>
      <c r="C1538" s="154"/>
      <c r="D1538" s="444" t="s">
        <v>10</v>
      </c>
      <c r="E1538" s="444"/>
      <c r="F1538" s="444"/>
      <c r="G1538" s="444"/>
      <c r="H1538" s="444"/>
      <c r="I1538" s="29"/>
      <c r="J1538" s="78"/>
      <c r="K1538" s="80">
        <f t="shared" si="102"/>
        <v>0</v>
      </c>
      <c r="L1538" s="80"/>
      <c r="M1538" s="82"/>
    </row>
    <row r="1539" spans="1:13" s="79" customFormat="1" ht="13.5" customHeight="1" hidden="1">
      <c r="A1539" s="407"/>
      <c r="C1539" s="154"/>
      <c r="D1539" s="444" t="s">
        <v>9</v>
      </c>
      <c r="E1539" s="444"/>
      <c r="F1539" s="444"/>
      <c r="G1539" s="444"/>
      <c r="H1539" s="444"/>
      <c r="I1539" s="29"/>
      <c r="J1539" s="78"/>
      <c r="K1539" s="80">
        <f t="shared" si="102"/>
        <v>0</v>
      </c>
      <c r="L1539" s="80"/>
      <c r="M1539" s="82"/>
    </row>
    <row r="1540" spans="1:13" s="79" customFormat="1" ht="12.75" customHeight="1">
      <c r="A1540" s="407"/>
      <c r="C1540" s="154"/>
      <c r="D1540" s="444" t="s">
        <v>11</v>
      </c>
      <c r="E1540" s="444"/>
      <c r="F1540" s="444"/>
      <c r="G1540" s="444"/>
      <c r="H1540" s="444"/>
      <c r="I1540" s="29">
        <f>11630+150000+28435+47900+4009</f>
        <v>241974</v>
      </c>
      <c r="J1540" s="80">
        <f>1750</f>
        <v>1750</v>
      </c>
      <c r="K1540" s="80">
        <f t="shared" si="102"/>
        <v>243724</v>
      </c>
      <c r="L1540" s="80"/>
      <c r="M1540" s="82"/>
    </row>
    <row r="1541" spans="1:13" s="79" customFormat="1" ht="13.5" customHeight="1" hidden="1">
      <c r="A1541" s="407"/>
      <c r="C1541" s="154"/>
      <c r="D1541" s="444" t="s">
        <v>12</v>
      </c>
      <c r="E1541" s="444"/>
      <c r="F1541" s="444"/>
      <c r="G1541" s="444"/>
      <c r="H1541" s="444"/>
      <c r="I1541" s="29"/>
      <c r="J1541" s="78"/>
      <c r="K1541" s="80">
        <f t="shared" si="102"/>
        <v>0</v>
      </c>
      <c r="L1541" s="80"/>
      <c r="M1541" s="82"/>
    </row>
    <row r="1542" spans="1:13" s="79" customFormat="1" ht="13.5" customHeight="1">
      <c r="A1542" s="407"/>
      <c r="C1542" s="154"/>
      <c r="D1542" s="445" t="s">
        <v>277</v>
      </c>
      <c r="E1542" s="445"/>
      <c r="F1542" s="445"/>
      <c r="G1542" s="445"/>
      <c r="H1542" s="445"/>
      <c r="I1542" s="77">
        <f>I1531-I1535</f>
        <v>-1074</v>
      </c>
      <c r="J1542" s="77">
        <f>J1531-J1535</f>
        <v>0</v>
      </c>
      <c r="K1542" s="77">
        <f>K1531-K1535</f>
        <v>-1074</v>
      </c>
      <c r="L1542" s="80"/>
      <c r="M1542" s="82"/>
    </row>
    <row r="1543" spans="1:13" s="79" customFormat="1" ht="13.5" customHeight="1">
      <c r="A1543" s="407"/>
      <c r="C1543" s="154"/>
      <c r="D1543" s="444" t="s">
        <v>279</v>
      </c>
      <c r="E1543" s="444"/>
      <c r="F1543" s="444"/>
      <c r="G1543" s="444"/>
      <c r="H1543" s="444"/>
      <c r="I1543" s="29">
        <f>I1544+I1545+I1546</f>
        <v>1074</v>
      </c>
      <c r="J1543" s="29">
        <f>J1544+J1545+J1546</f>
        <v>0</v>
      </c>
      <c r="K1543" s="29">
        <f>K1544+K1545+K1546</f>
        <v>1074</v>
      </c>
      <c r="L1543" s="80"/>
      <c r="M1543" s="82"/>
    </row>
    <row r="1544" spans="1:13" s="79" customFormat="1" ht="13.5" customHeight="1">
      <c r="A1544" s="407"/>
      <c r="C1544" s="154"/>
      <c r="D1544" s="444" t="s">
        <v>278</v>
      </c>
      <c r="E1544" s="444"/>
      <c r="F1544" s="444"/>
      <c r="G1544" s="444"/>
      <c r="H1544" s="444"/>
      <c r="I1544" s="29">
        <v>1074</v>
      </c>
      <c r="J1544" s="77"/>
      <c r="K1544" s="80">
        <f>SUM(I1544:J1544)</f>
        <v>1074</v>
      </c>
      <c r="L1544" s="80"/>
      <c r="M1544" s="82"/>
    </row>
    <row r="1545" spans="1:13" s="79" customFormat="1" ht="13.5" customHeight="1" hidden="1">
      <c r="A1545" s="407"/>
      <c r="C1545" s="154"/>
      <c r="D1545" s="444" t="s">
        <v>280</v>
      </c>
      <c r="E1545" s="444"/>
      <c r="F1545" s="444"/>
      <c r="G1545" s="444"/>
      <c r="H1545" s="444"/>
      <c r="I1545" s="29"/>
      <c r="J1545" s="77"/>
      <c r="K1545" s="80">
        <f>SUM(I1545:J1545)</f>
        <v>0</v>
      </c>
      <c r="L1545" s="80"/>
      <c r="M1545" s="82"/>
    </row>
    <row r="1546" spans="1:13" s="79" customFormat="1" ht="13.5" customHeight="1" hidden="1">
      <c r="A1546" s="407"/>
      <c r="C1546" s="154"/>
      <c r="D1546" s="444" t="s">
        <v>281</v>
      </c>
      <c r="E1546" s="444"/>
      <c r="F1546" s="444"/>
      <c r="G1546" s="444"/>
      <c r="H1546" s="444"/>
      <c r="I1546" s="29"/>
      <c r="J1546" s="77"/>
      <c r="K1546" s="80">
        <f>SUM(I1546:J1546)</f>
        <v>0</v>
      </c>
      <c r="L1546" s="80"/>
      <c r="M1546" s="82"/>
    </row>
    <row r="1547" spans="1:13" s="79" customFormat="1" ht="9" customHeight="1" hidden="1">
      <c r="A1547" s="407"/>
      <c r="C1547" s="154"/>
      <c r="D1547" s="85"/>
      <c r="E1547" s="85"/>
      <c r="F1547" s="85"/>
      <c r="G1547" s="85"/>
      <c r="H1547" s="85"/>
      <c r="I1547" s="29"/>
      <c r="J1547" s="78"/>
      <c r="K1547" s="80"/>
      <c r="L1547" s="80"/>
      <c r="M1547" s="82"/>
    </row>
    <row r="1548" spans="1:12" s="33" customFormat="1" ht="13.5" customHeight="1" hidden="1">
      <c r="A1548" s="410"/>
      <c r="C1548" s="149"/>
      <c r="D1548" s="81"/>
      <c r="E1548" s="81"/>
      <c r="F1548" s="81"/>
      <c r="G1548" s="81"/>
      <c r="H1548" s="81"/>
      <c r="I1548" s="29"/>
      <c r="J1548" s="80"/>
      <c r="K1548" s="80"/>
      <c r="L1548" s="175"/>
    </row>
    <row r="1549" spans="1:12" s="147" customFormat="1" ht="19.5" customHeight="1" hidden="1">
      <c r="A1549" s="410"/>
      <c r="C1549" s="148" t="s">
        <v>69</v>
      </c>
      <c r="D1549" s="454" t="s">
        <v>248</v>
      </c>
      <c r="E1549" s="454"/>
      <c r="F1549" s="454"/>
      <c r="G1549" s="454"/>
      <c r="H1549" s="454"/>
      <c r="I1549" s="129"/>
      <c r="J1549" s="127"/>
      <c r="K1549" s="127"/>
      <c r="L1549" s="245"/>
    </row>
    <row r="1550" spans="1:12" s="33" customFormat="1" ht="13.5" customHeight="1" hidden="1">
      <c r="A1550" s="410"/>
      <c r="C1550" s="151"/>
      <c r="D1550" s="447" t="s">
        <v>37</v>
      </c>
      <c r="E1550" s="447"/>
      <c r="F1550" s="447"/>
      <c r="G1550" s="447"/>
      <c r="H1550" s="447"/>
      <c r="I1550" s="77">
        <f>SUM(I1551:I1553)</f>
        <v>0</v>
      </c>
      <c r="J1550" s="77">
        <f>SUM(J1551:J1553)</f>
        <v>0</v>
      </c>
      <c r="K1550" s="77">
        <f>SUM(K1551:K1553)</f>
        <v>0</v>
      </c>
      <c r="L1550" s="175"/>
    </row>
    <row r="1551" spans="1:12" s="33" customFormat="1" ht="13.5" customHeight="1" hidden="1">
      <c r="A1551" s="410"/>
      <c r="C1551" s="151"/>
      <c r="D1551" s="446" t="s">
        <v>5</v>
      </c>
      <c r="E1551" s="446"/>
      <c r="F1551" s="446"/>
      <c r="G1551" s="446"/>
      <c r="H1551" s="446"/>
      <c r="I1551" s="29"/>
      <c r="J1551" s="29"/>
      <c r="K1551" s="29">
        <f>SUM(I1551:J1551)</f>
        <v>0</v>
      </c>
      <c r="L1551" s="175"/>
    </row>
    <row r="1552" spans="1:12" s="33" customFormat="1" ht="13.5" customHeight="1" hidden="1">
      <c r="A1552" s="410"/>
      <c r="C1552" s="151"/>
      <c r="D1552" s="446" t="s">
        <v>6</v>
      </c>
      <c r="E1552" s="446"/>
      <c r="F1552" s="446"/>
      <c r="G1552" s="446"/>
      <c r="H1552" s="446"/>
      <c r="I1552" s="29"/>
      <c r="J1552" s="29"/>
      <c r="K1552" s="29">
        <f>SUM(I1552:J1552)</f>
        <v>0</v>
      </c>
      <c r="L1552" s="175"/>
    </row>
    <row r="1553" spans="1:12" s="33" customFormat="1" ht="13.5" customHeight="1" hidden="1">
      <c r="A1553" s="410"/>
      <c r="C1553" s="151"/>
      <c r="D1553" s="446" t="s">
        <v>7</v>
      </c>
      <c r="E1553" s="446"/>
      <c r="F1553" s="446"/>
      <c r="G1553" s="446"/>
      <c r="H1553" s="446"/>
      <c r="I1553" s="29"/>
      <c r="J1553" s="29"/>
      <c r="K1553" s="29">
        <f>SUM(I1553:J1553)</f>
        <v>0</v>
      </c>
      <c r="L1553" s="175"/>
    </row>
    <row r="1554" spans="1:12" s="33" customFormat="1" ht="13.5" customHeight="1" hidden="1">
      <c r="A1554" s="410"/>
      <c r="C1554" s="151"/>
      <c r="D1554" s="447" t="s">
        <v>38</v>
      </c>
      <c r="E1554" s="447"/>
      <c r="F1554" s="447"/>
      <c r="G1554" s="447"/>
      <c r="H1554" s="447"/>
      <c r="I1554" s="253">
        <f>SUM(I1555:I1560)</f>
        <v>0</v>
      </c>
      <c r="J1554" s="253">
        <f>SUM(J1555:J1560)</f>
        <v>0</v>
      </c>
      <c r="K1554" s="253">
        <f>SUM(K1555:K1560)</f>
        <v>0</v>
      </c>
      <c r="L1554" s="175"/>
    </row>
    <row r="1555" spans="1:12" s="33" customFormat="1" ht="13.5" customHeight="1" hidden="1">
      <c r="A1555" s="410"/>
      <c r="C1555" s="151"/>
      <c r="D1555" s="446" t="s">
        <v>289</v>
      </c>
      <c r="E1555" s="446"/>
      <c r="F1555" s="446"/>
      <c r="G1555" s="446"/>
      <c r="H1555" s="446"/>
      <c r="I1555" s="29"/>
      <c r="J1555" s="29"/>
      <c r="K1555" s="29">
        <f aca="true" t="shared" si="103" ref="K1555:K1560">SUM(I1555:J1555)</f>
        <v>0</v>
      </c>
      <c r="L1555" s="175"/>
    </row>
    <row r="1556" spans="1:12" s="33" customFormat="1" ht="13.5" customHeight="1" hidden="1">
      <c r="A1556" s="410"/>
      <c r="C1556" s="151"/>
      <c r="D1556" s="444" t="s">
        <v>8</v>
      </c>
      <c r="E1556" s="448"/>
      <c r="F1556" s="448"/>
      <c r="G1556" s="448"/>
      <c r="H1556" s="448"/>
      <c r="I1556" s="29"/>
      <c r="J1556" s="77"/>
      <c r="K1556" s="29">
        <f t="shared" si="103"/>
        <v>0</v>
      </c>
      <c r="L1556" s="175"/>
    </row>
    <row r="1557" spans="1:12" s="33" customFormat="1" ht="13.5" customHeight="1" hidden="1">
      <c r="A1557" s="410"/>
      <c r="C1557" s="151"/>
      <c r="D1557" s="444" t="s">
        <v>10</v>
      </c>
      <c r="E1557" s="444"/>
      <c r="F1557" s="444"/>
      <c r="G1557" s="444"/>
      <c r="H1557" s="444"/>
      <c r="I1557" s="29"/>
      <c r="J1557" s="77"/>
      <c r="K1557" s="29">
        <f t="shared" si="103"/>
        <v>0</v>
      </c>
      <c r="L1557" s="175"/>
    </row>
    <row r="1558" spans="1:12" s="33" customFormat="1" ht="13.5" customHeight="1" hidden="1">
      <c r="A1558" s="410"/>
      <c r="C1558" s="151"/>
      <c r="D1558" s="444" t="s">
        <v>9</v>
      </c>
      <c r="E1558" s="444"/>
      <c r="F1558" s="444"/>
      <c r="G1558" s="444"/>
      <c r="H1558" s="444"/>
      <c r="I1558" s="29"/>
      <c r="J1558" s="77"/>
      <c r="K1558" s="29">
        <f t="shared" si="103"/>
        <v>0</v>
      </c>
      <c r="L1558" s="175"/>
    </row>
    <row r="1559" spans="1:12" s="33" customFormat="1" ht="13.5" customHeight="1" hidden="1">
      <c r="A1559" s="410"/>
      <c r="C1559" s="151"/>
      <c r="D1559" s="444" t="s">
        <v>11</v>
      </c>
      <c r="E1559" s="444"/>
      <c r="F1559" s="444"/>
      <c r="G1559" s="444"/>
      <c r="H1559" s="444"/>
      <c r="I1559" s="29"/>
      <c r="J1559" s="77"/>
      <c r="K1559" s="29">
        <f t="shared" si="103"/>
        <v>0</v>
      </c>
      <c r="L1559" s="175"/>
    </row>
    <row r="1560" spans="1:12" s="33" customFormat="1" ht="13.5" customHeight="1" hidden="1">
      <c r="A1560" s="410"/>
      <c r="C1560" s="151"/>
      <c r="D1560" s="444" t="s">
        <v>12</v>
      </c>
      <c r="E1560" s="444"/>
      <c r="F1560" s="444"/>
      <c r="G1560" s="444"/>
      <c r="H1560" s="444"/>
      <c r="I1560" s="29"/>
      <c r="J1560" s="77"/>
      <c r="K1560" s="29">
        <f t="shared" si="103"/>
        <v>0</v>
      </c>
      <c r="L1560" s="175"/>
    </row>
    <row r="1561" spans="1:12" s="33" customFormat="1" ht="13.5" customHeight="1" hidden="1">
      <c r="A1561" s="410"/>
      <c r="C1561" s="151"/>
      <c r="D1561" s="445" t="s">
        <v>277</v>
      </c>
      <c r="E1561" s="445"/>
      <c r="F1561" s="445"/>
      <c r="G1561" s="445"/>
      <c r="H1561" s="445"/>
      <c r="I1561" s="77">
        <f>I1550-I1554</f>
        <v>0</v>
      </c>
      <c r="J1561" s="77">
        <f>J1550-J1554</f>
        <v>0</v>
      </c>
      <c r="K1561" s="77">
        <f>K1550-K1554</f>
        <v>0</v>
      </c>
      <c r="L1561" s="175"/>
    </row>
    <row r="1562" spans="1:12" s="33" customFormat="1" ht="13.5" customHeight="1" hidden="1">
      <c r="A1562" s="410"/>
      <c r="C1562" s="151"/>
      <c r="D1562" s="444" t="s">
        <v>279</v>
      </c>
      <c r="E1562" s="444"/>
      <c r="F1562" s="444"/>
      <c r="G1562" s="444"/>
      <c r="H1562" s="444"/>
      <c r="I1562" s="29">
        <f>I1563+I1564+I1565</f>
        <v>0</v>
      </c>
      <c r="J1562" s="29">
        <f>J1563+J1564+J1565</f>
        <v>0</v>
      </c>
      <c r="K1562" s="29">
        <f>K1563+K1564+K1565</f>
        <v>0</v>
      </c>
      <c r="L1562" s="175"/>
    </row>
    <row r="1563" spans="1:12" s="33" customFormat="1" ht="13.5" customHeight="1" hidden="1">
      <c r="A1563" s="410"/>
      <c r="C1563" s="151"/>
      <c r="D1563" s="444" t="s">
        <v>278</v>
      </c>
      <c r="E1563" s="444"/>
      <c r="F1563" s="444"/>
      <c r="G1563" s="444"/>
      <c r="H1563" s="444"/>
      <c r="I1563" s="29"/>
      <c r="J1563" s="77"/>
      <c r="K1563" s="80">
        <f>SUM(I1563:J1563)</f>
        <v>0</v>
      </c>
      <c r="L1563" s="175"/>
    </row>
    <row r="1564" spans="1:12" s="33" customFormat="1" ht="13.5" customHeight="1" hidden="1">
      <c r="A1564" s="410"/>
      <c r="C1564" s="151"/>
      <c r="D1564" s="444" t="s">
        <v>280</v>
      </c>
      <c r="E1564" s="444"/>
      <c r="F1564" s="444"/>
      <c r="G1564" s="444"/>
      <c r="H1564" s="444"/>
      <c r="I1564" s="29"/>
      <c r="J1564" s="77"/>
      <c r="K1564" s="80">
        <f>SUM(I1564:J1564)</f>
        <v>0</v>
      </c>
      <c r="L1564" s="175"/>
    </row>
    <row r="1565" spans="1:12" s="33" customFormat="1" ht="13.5" customHeight="1" hidden="1">
      <c r="A1565" s="410"/>
      <c r="C1565" s="151"/>
      <c r="D1565" s="444" t="s">
        <v>281</v>
      </c>
      <c r="E1565" s="444"/>
      <c r="F1565" s="444"/>
      <c r="G1565" s="444"/>
      <c r="H1565" s="444"/>
      <c r="I1565" s="29"/>
      <c r="J1565" s="77"/>
      <c r="K1565" s="80">
        <f>SUM(I1565:J1565)</f>
        <v>0</v>
      </c>
      <c r="L1565" s="175"/>
    </row>
    <row r="1566" spans="1:12" s="33" customFormat="1" ht="13.5" customHeight="1" hidden="1">
      <c r="A1566" s="410"/>
      <c r="C1566" s="151"/>
      <c r="D1566" s="85"/>
      <c r="E1566" s="85"/>
      <c r="F1566" s="85"/>
      <c r="G1566" s="85"/>
      <c r="H1566" s="85"/>
      <c r="I1566" s="29"/>
      <c r="J1566" s="77"/>
      <c r="K1566" s="77"/>
      <c r="L1566" s="175"/>
    </row>
    <row r="1567" spans="1:12" s="33" customFormat="1" ht="21.75" customHeight="1">
      <c r="A1567" s="410"/>
      <c r="C1567" s="151"/>
      <c r="D1567" s="85"/>
      <c r="E1567" s="85"/>
      <c r="F1567" s="85"/>
      <c r="G1567" s="85"/>
      <c r="H1567" s="85"/>
      <c r="I1567" s="29"/>
      <c r="J1567" s="77"/>
      <c r="K1567" s="77"/>
      <c r="L1567" s="175"/>
    </row>
    <row r="1568" spans="1:13" s="15" customFormat="1" ht="13.5" customHeight="1">
      <c r="A1568" s="407"/>
      <c r="C1568" s="142" t="s">
        <v>69</v>
      </c>
      <c r="D1568" s="450" t="s">
        <v>70</v>
      </c>
      <c r="E1568" s="450"/>
      <c r="F1568" s="450"/>
      <c r="G1568" s="450"/>
      <c r="H1568" s="450"/>
      <c r="I1568" s="17"/>
      <c r="J1568" s="126"/>
      <c r="K1568" s="126"/>
      <c r="L1568" s="127"/>
      <c r="M1568" s="95"/>
    </row>
    <row r="1569" spans="1:13" s="15" customFormat="1" ht="13.5" customHeight="1">
      <c r="A1569" s="407"/>
      <c r="C1569" s="154"/>
      <c r="D1569" s="447" t="s">
        <v>37</v>
      </c>
      <c r="E1569" s="447"/>
      <c r="F1569" s="447"/>
      <c r="G1569" s="447"/>
      <c r="H1569" s="447"/>
      <c r="I1569" s="77">
        <f>SUM(I1570:I1572)</f>
        <v>29325</v>
      </c>
      <c r="J1569" s="77">
        <f>SUM(J1570:J1572)</f>
        <v>1922</v>
      </c>
      <c r="K1569" s="77">
        <f>SUM(K1570:K1572)</f>
        <v>31247</v>
      </c>
      <c r="L1569" s="127"/>
      <c r="M1569" s="95"/>
    </row>
    <row r="1570" spans="1:13" s="15" customFormat="1" ht="13.5" customHeight="1">
      <c r="A1570" s="407"/>
      <c r="C1570" s="154"/>
      <c r="D1570" s="446" t="s">
        <v>5</v>
      </c>
      <c r="E1570" s="446"/>
      <c r="F1570" s="446"/>
      <c r="G1570" s="446"/>
      <c r="H1570" s="446"/>
      <c r="I1570" s="29">
        <v>29065</v>
      </c>
      <c r="J1570" s="80">
        <v>1922</v>
      </c>
      <c r="K1570" s="80">
        <f>SUM(I1570:J1570)</f>
        <v>30987</v>
      </c>
      <c r="L1570" s="127"/>
      <c r="M1570" s="95"/>
    </row>
    <row r="1571" spans="1:13" s="15" customFormat="1" ht="12" customHeight="1">
      <c r="A1571" s="407"/>
      <c r="C1571" s="154"/>
      <c r="D1571" s="446" t="s">
        <v>6</v>
      </c>
      <c r="E1571" s="446"/>
      <c r="F1571" s="446"/>
      <c r="G1571" s="446"/>
      <c r="H1571" s="446"/>
      <c r="I1571" s="29">
        <v>260</v>
      </c>
      <c r="J1571" s="78"/>
      <c r="K1571" s="80">
        <f>SUM(I1571:J1571)</f>
        <v>260</v>
      </c>
      <c r="L1571" s="127"/>
      <c r="M1571" s="95"/>
    </row>
    <row r="1572" spans="1:13" s="15" customFormat="1" ht="13.5" customHeight="1" hidden="1">
      <c r="A1572" s="407"/>
      <c r="C1572" s="154"/>
      <c r="D1572" s="446" t="s">
        <v>7</v>
      </c>
      <c r="E1572" s="446"/>
      <c r="F1572" s="446"/>
      <c r="G1572" s="446"/>
      <c r="H1572" s="446"/>
      <c r="I1572" s="29"/>
      <c r="J1572" s="78"/>
      <c r="K1572" s="80">
        <f>SUM(I1572:J1572)</f>
        <v>0</v>
      </c>
      <c r="L1572" s="127"/>
      <c r="M1572" s="95"/>
    </row>
    <row r="1573" spans="1:13" s="15" customFormat="1" ht="13.5" customHeight="1">
      <c r="A1573" s="407"/>
      <c r="C1573" s="154"/>
      <c r="D1573" s="447" t="s">
        <v>38</v>
      </c>
      <c r="E1573" s="447"/>
      <c r="F1573" s="447"/>
      <c r="G1573" s="447"/>
      <c r="H1573" s="447"/>
      <c r="I1573" s="253">
        <f>SUM(I1574:I1579)</f>
        <v>29504</v>
      </c>
      <c r="J1573" s="253">
        <f>SUM(J1574:J1579)</f>
        <v>1922</v>
      </c>
      <c r="K1573" s="253">
        <f>SUM(K1574:K1579)</f>
        <v>31426</v>
      </c>
      <c r="L1573" s="127"/>
      <c r="M1573" s="95"/>
    </row>
    <row r="1574" spans="1:13" s="15" customFormat="1" ht="12" customHeight="1">
      <c r="A1574" s="407"/>
      <c r="C1574" s="154"/>
      <c r="D1574" s="446" t="s">
        <v>289</v>
      </c>
      <c r="E1574" s="446"/>
      <c r="F1574" s="446"/>
      <c r="G1574" s="446"/>
      <c r="H1574" s="446"/>
      <c r="I1574" s="29">
        <f>24215</f>
        <v>24215</v>
      </c>
      <c r="J1574" s="80">
        <v>1922</v>
      </c>
      <c r="K1574" s="80">
        <f aca="true" t="shared" si="104" ref="K1574:K1579">SUM(I1574:J1574)</f>
        <v>26137</v>
      </c>
      <c r="L1574" s="127"/>
      <c r="M1574" s="95"/>
    </row>
    <row r="1575" spans="1:13" s="15" customFormat="1" ht="11.25" customHeight="1">
      <c r="A1575" s="407"/>
      <c r="C1575" s="154"/>
      <c r="D1575" s="444" t="s">
        <v>8</v>
      </c>
      <c r="E1575" s="448"/>
      <c r="F1575" s="448"/>
      <c r="G1575" s="448"/>
      <c r="H1575" s="448"/>
      <c r="I1575" s="29">
        <f>4850+439</f>
        <v>5289</v>
      </c>
      <c r="J1575" s="80"/>
      <c r="K1575" s="80">
        <f t="shared" si="104"/>
        <v>5289</v>
      </c>
      <c r="L1575" s="127"/>
      <c r="M1575" s="95"/>
    </row>
    <row r="1576" spans="1:13" s="15" customFormat="1" ht="13.5" customHeight="1" hidden="1">
      <c r="A1576" s="407"/>
      <c r="C1576" s="154"/>
      <c r="D1576" s="444" t="s">
        <v>10</v>
      </c>
      <c r="E1576" s="444"/>
      <c r="F1576" s="444"/>
      <c r="G1576" s="444"/>
      <c r="H1576" s="444"/>
      <c r="I1576" s="29"/>
      <c r="J1576" s="78"/>
      <c r="K1576" s="80">
        <f t="shared" si="104"/>
        <v>0</v>
      </c>
      <c r="L1576" s="127"/>
      <c r="M1576" s="95"/>
    </row>
    <row r="1577" spans="1:13" s="15" customFormat="1" ht="13.5" customHeight="1" hidden="1">
      <c r="A1577" s="407"/>
      <c r="C1577" s="154"/>
      <c r="D1577" s="444" t="s">
        <v>9</v>
      </c>
      <c r="E1577" s="444"/>
      <c r="F1577" s="444"/>
      <c r="G1577" s="444"/>
      <c r="H1577" s="444"/>
      <c r="I1577" s="29"/>
      <c r="J1577" s="78"/>
      <c r="K1577" s="80">
        <f t="shared" si="104"/>
        <v>0</v>
      </c>
      <c r="L1577" s="127"/>
      <c r="M1577" s="95"/>
    </row>
    <row r="1578" spans="1:13" s="15" customFormat="1" ht="13.5" customHeight="1" hidden="1">
      <c r="A1578" s="407"/>
      <c r="C1578" s="154"/>
      <c r="D1578" s="444" t="s">
        <v>11</v>
      </c>
      <c r="E1578" s="444"/>
      <c r="F1578" s="444"/>
      <c r="G1578" s="444"/>
      <c r="H1578" s="444"/>
      <c r="I1578" s="29"/>
      <c r="J1578" s="78"/>
      <c r="K1578" s="80">
        <f t="shared" si="104"/>
        <v>0</v>
      </c>
      <c r="L1578" s="127"/>
      <c r="M1578" s="95"/>
    </row>
    <row r="1579" spans="1:13" s="79" customFormat="1" ht="13.5" customHeight="1" hidden="1">
      <c r="A1579" s="407"/>
      <c r="C1579" s="151"/>
      <c r="D1579" s="444" t="s">
        <v>12</v>
      </c>
      <c r="E1579" s="444"/>
      <c r="F1579" s="444"/>
      <c r="G1579" s="444"/>
      <c r="H1579" s="444"/>
      <c r="I1579" s="29"/>
      <c r="J1579" s="77"/>
      <c r="K1579" s="80">
        <f t="shared" si="104"/>
        <v>0</v>
      </c>
      <c r="L1579" s="80"/>
      <c r="M1579" s="82"/>
    </row>
    <row r="1580" spans="1:13" s="79" customFormat="1" ht="13.5" customHeight="1">
      <c r="A1580" s="407"/>
      <c r="C1580" s="151"/>
      <c r="D1580" s="445" t="s">
        <v>277</v>
      </c>
      <c r="E1580" s="445"/>
      <c r="F1580" s="445"/>
      <c r="G1580" s="445"/>
      <c r="H1580" s="445"/>
      <c r="I1580" s="77">
        <f>I1569-I1573</f>
        <v>-179</v>
      </c>
      <c r="J1580" s="77">
        <f>J1569-J1573</f>
        <v>0</v>
      </c>
      <c r="K1580" s="77">
        <f>K1569-K1573</f>
        <v>-179</v>
      </c>
      <c r="L1580" s="80"/>
      <c r="M1580" s="82"/>
    </row>
    <row r="1581" spans="1:13" s="79" customFormat="1" ht="11.25" customHeight="1">
      <c r="A1581" s="407"/>
      <c r="C1581" s="151"/>
      <c r="D1581" s="444" t="s">
        <v>279</v>
      </c>
      <c r="E1581" s="444"/>
      <c r="F1581" s="444"/>
      <c r="G1581" s="444"/>
      <c r="H1581" s="444"/>
      <c r="I1581" s="29">
        <f>I1582+I1583+I1584</f>
        <v>179</v>
      </c>
      <c r="J1581" s="29">
        <f>J1582+J1583+J1584</f>
        <v>0</v>
      </c>
      <c r="K1581" s="29">
        <f>K1582+K1583+K1584</f>
        <v>179</v>
      </c>
      <c r="L1581" s="80"/>
      <c r="M1581" s="82"/>
    </row>
    <row r="1582" spans="1:13" s="79" customFormat="1" ht="12" customHeight="1">
      <c r="A1582" s="407"/>
      <c r="C1582" s="151"/>
      <c r="D1582" s="444" t="s">
        <v>278</v>
      </c>
      <c r="E1582" s="444"/>
      <c r="F1582" s="444"/>
      <c r="G1582" s="444"/>
      <c r="H1582" s="444"/>
      <c r="I1582" s="29">
        <v>179</v>
      </c>
      <c r="J1582" s="77"/>
      <c r="K1582" s="80">
        <f>SUM(I1582:J1582)</f>
        <v>179</v>
      </c>
      <c r="L1582" s="80"/>
      <c r="M1582" s="82"/>
    </row>
    <row r="1583" spans="1:13" s="79" customFormat="1" ht="13.5" customHeight="1" hidden="1">
      <c r="A1583" s="407"/>
      <c r="C1583" s="151"/>
      <c r="D1583" s="444" t="s">
        <v>280</v>
      </c>
      <c r="E1583" s="444"/>
      <c r="F1583" s="444"/>
      <c r="G1583" s="444"/>
      <c r="H1583" s="444"/>
      <c r="I1583" s="29"/>
      <c r="J1583" s="77"/>
      <c r="K1583" s="80">
        <f>SUM(I1583:J1583)</f>
        <v>0</v>
      </c>
      <c r="L1583" s="80"/>
      <c r="M1583" s="82"/>
    </row>
    <row r="1584" spans="1:13" s="79" customFormat="1" ht="13.5" customHeight="1" hidden="1">
      <c r="A1584" s="407"/>
      <c r="C1584" s="151"/>
      <c r="D1584" s="444" t="s">
        <v>281</v>
      </c>
      <c r="E1584" s="444"/>
      <c r="F1584" s="444"/>
      <c r="G1584" s="444"/>
      <c r="H1584" s="444"/>
      <c r="I1584" s="29"/>
      <c r="J1584" s="77"/>
      <c r="K1584" s="80">
        <f>SUM(I1584:J1584)</f>
        <v>0</v>
      </c>
      <c r="L1584" s="80"/>
      <c r="M1584" s="82"/>
    </row>
    <row r="1585" spans="1:13" s="79" customFormat="1" ht="20.25" customHeight="1">
      <c r="A1585" s="407"/>
      <c r="C1585" s="151"/>
      <c r="D1585" s="85"/>
      <c r="E1585" s="85"/>
      <c r="F1585" s="85"/>
      <c r="G1585" s="85"/>
      <c r="H1585" s="85"/>
      <c r="I1585" s="29"/>
      <c r="J1585" s="77"/>
      <c r="K1585" s="80"/>
      <c r="L1585" s="80"/>
      <c r="M1585" s="82"/>
    </row>
    <row r="1586" spans="1:12" s="95" customFormat="1" ht="3" customHeight="1" hidden="1">
      <c r="A1586" s="407"/>
      <c r="C1586" s="162"/>
      <c r="D1586" s="90"/>
      <c r="E1586" s="90"/>
      <c r="F1586" s="90"/>
      <c r="G1586" s="90"/>
      <c r="H1586" s="90"/>
      <c r="I1586" s="106"/>
      <c r="J1586" s="80"/>
      <c r="K1586" s="80"/>
      <c r="L1586" s="127"/>
    </row>
    <row r="1587" spans="1:13" s="15" customFormat="1" ht="13.5" customHeight="1">
      <c r="A1587" s="407"/>
      <c r="C1587" s="142" t="s">
        <v>69</v>
      </c>
      <c r="D1587" s="450" t="s">
        <v>71</v>
      </c>
      <c r="E1587" s="450"/>
      <c r="F1587" s="450"/>
      <c r="G1587" s="450"/>
      <c r="H1587" s="450"/>
      <c r="I1587" s="17"/>
      <c r="J1587" s="126"/>
      <c r="K1587" s="126"/>
      <c r="L1587" s="127"/>
      <c r="M1587" s="95"/>
    </row>
    <row r="1588" spans="1:13" s="15" customFormat="1" ht="13.5" customHeight="1">
      <c r="A1588" s="407"/>
      <c r="C1588" s="154"/>
      <c r="D1588" s="447" t="s">
        <v>37</v>
      </c>
      <c r="E1588" s="447"/>
      <c r="F1588" s="447"/>
      <c r="G1588" s="447"/>
      <c r="H1588" s="447"/>
      <c r="I1588" s="77">
        <f>SUM(I1589:I1591)</f>
        <v>19500</v>
      </c>
      <c r="J1588" s="77">
        <f>SUM(J1589:J1591)</f>
        <v>1441</v>
      </c>
      <c r="K1588" s="77">
        <f>SUM(K1589:K1591)</f>
        <v>20941</v>
      </c>
      <c r="L1588" s="127"/>
      <c r="M1588" s="95"/>
    </row>
    <row r="1589" spans="1:13" s="15" customFormat="1" ht="12.75" customHeight="1">
      <c r="A1589" s="407"/>
      <c r="C1589" s="154"/>
      <c r="D1589" s="446" t="s">
        <v>5</v>
      </c>
      <c r="E1589" s="446"/>
      <c r="F1589" s="446"/>
      <c r="G1589" s="446"/>
      <c r="H1589" s="446"/>
      <c r="I1589" s="29">
        <v>19500</v>
      </c>
      <c r="J1589" s="80">
        <f>1190+251</f>
        <v>1441</v>
      </c>
      <c r="K1589" s="80">
        <f>SUM(I1589:J1589)</f>
        <v>20941</v>
      </c>
      <c r="L1589" s="127"/>
      <c r="M1589" s="95"/>
    </row>
    <row r="1590" spans="1:13" s="15" customFormat="1" ht="13.5" customHeight="1" hidden="1">
      <c r="A1590" s="407"/>
      <c r="C1590" s="154"/>
      <c r="D1590" s="446" t="s">
        <v>6</v>
      </c>
      <c r="E1590" s="446"/>
      <c r="F1590" s="446"/>
      <c r="G1590" s="446"/>
      <c r="H1590" s="446"/>
      <c r="I1590" s="29"/>
      <c r="J1590" s="78"/>
      <c r="K1590" s="80">
        <f>SUM(I1590:J1590)</f>
        <v>0</v>
      </c>
      <c r="L1590" s="127"/>
      <c r="M1590" s="95"/>
    </row>
    <row r="1591" spans="1:13" s="15" customFormat="1" ht="13.5" customHeight="1" hidden="1">
      <c r="A1591" s="407"/>
      <c r="C1591" s="154"/>
      <c r="D1591" s="446" t="s">
        <v>7</v>
      </c>
      <c r="E1591" s="446"/>
      <c r="F1591" s="446"/>
      <c r="G1591" s="446"/>
      <c r="H1591" s="446"/>
      <c r="I1591" s="29"/>
      <c r="J1591" s="78"/>
      <c r="K1591" s="80">
        <f>SUM(I1591:J1591)</f>
        <v>0</v>
      </c>
      <c r="L1591" s="127"/>
      <c r="M1591" s="95"/>
    </row>
    <row r="1592" spans="1:13" s="15" customFormat="1" ht="13.5" customHeight="1">
      <c r="A1592" s="407"/>
      <c r="C1592" s="154"/>
      <c r="D1592" s="447" t="s">
        <v>38</v>
      </c>
      <c r="E1592" s="447"/>
      <c r="F1592" s="447"/>
      <c r="G1592" s="447"/>
      <c r="H1592" s="447"/>
      <c r="I1592" s="253">
        <f>SUM(I1593:I1598)</f>
        <v>19500</v>
      </c>
      <c r="J1592" s="253">
        <f>SUM(J1593:J1598)</f>
        <v>1441</v>
      </c>
      <c r="K1592" s="253">
        <f>SUM(K1593:K1598)</f>
        <v>20941</v>
      </c>
      <c r="L1592" s="127"/>
      <c r="M1592" s="95"/>
    </row>
    <row r="1593" spans="1:13" s="15" customFormat="1" ht="13.5" customHeight="1">
      <c r="A1593" s="407"/>
      <c r="C1593" s="154"/>
      <c r="D1593" s="446" t="s">
        <v>289</v>
      </c>
      <c r="E1593" s="446"/>
      <c r="F1593" s="446"/>
      <c r="G1593" s="446"/>
      <c r="H1593" s="446"/>
      <c r="I1593" s="29">
        <v>14500</v>
      </c>
      <c r="J1593" s="80">
        <f>251+1190</f>
        <v>1441</v>
      </c>
      <c r="K1593" s="80">
        <f aca="true" t="shared" si="105" ref="K1593:K1598">SUM(I1593:J1593)</f>
        <v>15941</v>
      </c>
      <c r="L1593" s="127"/>
      <c r="M1593" s="95"/>
    </row>
    <row r="1594" spans="1:13" s="15" customFormat="1" ht="12.75" customHeight="1">
      <c r="A1594" s="407"/>
      <c r="C1594" s="154"/>
      <c r="D1594" s="444" t="s">
        <v>8</v>
      </c>
      <c r="E1594" s="448"/>
      <c r="F1594" s="448"/>
      <c r="G1594" s="448"/>
      <c r="H1594" s="448"/>
      <c r="I1594" s="29">
        <v>4600</v>
      </c>
      <c r="J1594" s="80"/>
      <c r="K1594" s="80">
        <f t="shared" si="105"/>
        <v>4600</v>
      </c>
      <c r="L1594" s="127"/>
      <c r="M1594" s="95"/>
    </row>
    <row r="1595" spans="1:13" s="15" customFormat="1" ht="13.5" customHeight="1" hidden="1">
      <c r="A1595" s="407"/>
      <c r="C1595" s="154"/>
      <c r="D1595" s="444" t="s">
        <v>10</v>
      </c>
      <c r="E1595" s="444"/>
      <c r="F1595" s="444"/>
      <c r="G1595" s="444"/>
      <c r="H1595" s="444"/>
      <c r="I1595" s="29"/>
      <c r="J1595" s="78"/>
      <c r="K1595" s="80">
        <f t="shared" si="105"/>
        <v>0</v>
      </c>
      <c r="L1595" s="127"/>
      <c r="M1595" s="95"/>
    </row>
    <row r="1596" spans="1:13" s="15" customFormat="1" ht="13.5" customHeight="1" hidden="1">
      <c r="A1596" s="407"/>
      <c r="C1596" s="154"/>
      <c r="D1596" s="444" t="s">
        <v>9</v>
      </c>
      <c r="E1596" s="444"/>
      <c r="F1596" s="444"/>
      <c r="G1596" s="444"/>
      <c r="H1596" s="444"/>
      <c r="I1596" s="29"/>
      <c r="J1596" s="78"/>
      <c r="K1596" s="80">
        <f t="shared" si="105"/>
        <v>0</v>
      </c>
      <c r="L1596" s="127"/>
      <c r="M1596" s="95"/>
    </row>
    <row r="1597" spans="1:13" s="15" customFormat="1" ht="11.25" customHeight="1">
      <c r="A1597" s="407"/>
      <c r="C1597" s="154"/>
      <c r="D1597" s="444" t="s">
        <v>11</v>
      </c>
      <c r="E1597" s="444"/>
      <c r="F1597" s="444"/>
      <c r="G1597" s="444"/>
      <c r="H1597" s="444"/>
      <c r="I1597" s="29">
        <v>400</v>
      </c>
      <c r="J1597" s="78"/>
      <c r="K1597" s="80">
        <f t="shared" si="105"/>
        <v>400</v>
      </c>
      <c r="L1597" s="127"/>
      <c r="M1597" s="95"/>
    </row>
    <row r="1598" spans="1:13" s="79" customFormat="1" ht="13.5" customHeight="1" hidden="1">
      <c r="A1598" s="407"/>
      <c r="C1598" s="151"/>
      <c r="D1598" s="444" t="s">
        <v>12</v>
      </c>
      <c r="E1598" s="444"/>
      <c r="F1598" s="444"/>
      <c r="G1598" s="444"/>
      <c r="H1598" s="444"/>
      <c r="I1598" s="29"/>
      <c r="J1598" s="78"/>
      <c r="K1598" s="80">
        <f t="shared" si="105"/>
        <v>0</v>
      </c>
      <c r="L1598" s="80"/>
      <c r="M1598" s="82"/>
    </row>
    <row r="1599" spans="1:13" s="79" customFormat="1" ht="13.5" customHeight="1">
      <c r="A1599" s="407"/>
      <c r="C1599" s="151"/>
      <c r="D1599" s="445" t="s">
        <v>277</v>
      </c>
      <c r="E1599" s="445"/>
      <c r="F1599" s="445"/>
      <c r="G1599" s="445"/>
      <c r="H1599" s="445"/>
      <c r="I1599" s="77">
        <f>I1588-I1592</f>
        <v>0</v>
      </c>
      <c r="J1599" s="77">
        <f>J1588-J1592</f>
        <v>0</v>
      </c>
      <c r="K1599" s="77">
        <f>K1588-K1592</f>
        <v>0</v>
      </c>
      <c r="L1599" s="80"/>
      <c r="M1599" s="82"/>
    </row>
    <row r="1600" spans="1:13" s="79" customFormat="1" ht="12" customHeight="1">
      <c r="A1600" s="407"/>
      <c r="C1600" s="151"/>
      <c r="D1600" s="444" t="s">
        <v>279</v>
      </c>
      <c r="E1600" s="444"/>
      <c r="F1600" s="444"/>
      <c r="G1600" s="444"/>
      <c r="H1600" s="444"/>
      <c r="I1600" s="29">
        <f>I1601+I1602+I1603</f>
        <v>0</v>
      </c>
      <c r="J1600" s="29">
        <f>J1601+J1602+J1603</f>
        <v>0</v>
      </c>
      <c r="K1600" s="29">
        <f>K1601+K1602+K1603</f>
        <v>0</v>
      </c>
      <c r="L1600" s="80"/>
      <c r="M1600" s="82"/>
    </row>
    <row r="1601" spans="1:13" s="79" customFormat="1" ht="13.5" customHeight="1" hidden="1">
      <c r="A1601" s="407"/>
      <c r="C1601" s="151"/>
      <c r="D1601" s="444" t="s">
        <v>278</v>
      </c>
      <c r="E1601" s="444"/>
      <c r="F1601" s="444"/>
      <c r="G1601" s="444"/>
      <c r="H1601" s="444"/>
      <c r="I1601" s="29"/>
      <c r="J1601" s="77"/>
      <c r="K1601" s="80">
        <f>SUM(I1601:J1601)</f>
        <v>0</v>
      </c>
      <c r="L1601" s="80"/>
      <c r="M1601" s="82"/>
    </row>
    <row r="1602" spans="1:13" s="79" customFormat="1" ht="13.5" customHeight="1" hidden="1">
      <c r="A1602" s="407"/>
      <c r="C1602" s="151"/>
      <c r="D1602" s="444" t="s">
        <v>280</v>
      </c>
      <c r="E1602" s="444"/>
      <c r="F1602" s="444"/>
      <c r="G1602" s="444"/>
      <c r="H1602" s="444"/>
      <c r="I1602" s="29"/>
      <c r="J1602" s="77"/>
      <c r="K1602" s="80">
        <f>SUM(I1602:J1602)</f>
        <v>0</v>
      </c>
      <c r="L1602" s="80"/>
      <c r="M1602" s="82"/>
    </row>
    <row r="1603" spans="1:13" s="79" customFormat="1" ht="13.5" customHeight="1" hidden="1">
      <c r="A1603" s="407"/>
      <c r="C1603" s="151"/>
      <c r="D1603" s="444" t="s">
        <v>281</v>
      </c>
      <c r="E1603" s="444"/>
      <c r="F1603" s="444"/>
      <c r="G1603" s="444"/>
      <c r="H1603" s="444"/>
      <c r="I1603" s="29"/>
      <c r="J1603" s="77"/>
      <c r="K1603" s="80">
        <f>SUM(I1603:J1603)</f>
        <v>0</v>
      </c>
      <c r="L1603" s="80"/>
      <c r="M1603" s="82"/>
    </row>
    <row r="1604" spans="1:13" s="79" customFormat="1" ht="13.5" customHeight="1" hidden="1">
      <c r="A1604" s="407"/>
      <c r="C1604" s="151"/>
      <c r="D1604" s="85"/>
      <c r="E1604" s="85"/>
      <c r="F1604" s="85"/>
      <c r="G1604" s="85"/>
      <c r="H1604" s="85"/>
      <c r="I1604" s="29"/>
      <c r="J1604" s="78"/>
      <c r="K1604" s="80"/>
      <c r="L1604" s="80"/>
      <c r="M1604" s="82"/>
    </row>
    <row r="1605" spans="1:13" s="79" customFormat="1" ht="15" customHeight="1">
      <c r="A1605" s="407"/>
      <c r="C1605" s="151"/>
      <c r="D1605" s="85"/>
      <c r="E1605" s="85"/>
      <c r="F1605" s="85"/>
      <c r="G1605" s="85"/>
      <c r="H1605" s="85"/>
      <c r="I1605" s="29"/>
      <c r="J1605" s="78"/>
      <c r="K1605" s="80"/>
      <c r="L1605" s="80"/>
      <c r="M1605" s="82"/>
    </row>
    <row r="1606" spans="1:13" s="79" customFormat="1" ht="13.5" customHeight="1">
      <c r="A1606" s="407"/>
      <c r="C1606" s="157" t="s">
        <v>219</v>
      </c>
      <c r="D1606" s="454" t="s">
        <v>292</v>
      </c>
      <c r="E1606" s="454"/>
      <c r="F1606" s="454"/>
      <c r="G1606" s="454"/>
      <c r="H1606" s="454"/>
      <c r="I1606" s="17"/>
      <c r="J1606" s="126"/>
      <c r="K1606" s="126"/>
      <c r="L1606" s="80"/>
      <c r="M1606" s="82"/>
    </row>
    <row r="1607" spans="1:13" s="79" customFormat="1" ht="14.25" customHeight="1">
      <c r="A1607" s="407"/>
      <c r="C1607" s="158"/>
      <c r="D1607" s="447" t="s">
        <v>37</v>
      </c>
      <c r="E1607" s="447"/>
      <c r="F1607" s="447"/>
      <c r="G1607" s="447"/>
      <c r="H1607" s="447"/>
      <c r="I1607" s="77">
        <f>SUM(I1608:I1610)</f>
        <v>35000</v>
      </c>
      <c r="J1607" s="77">
        <f>SUM(J1608:J1610)</f>
        <v>40000</v>
      </c>
      <c r="K1607" s="77">
        <f>SUM(K1608:K1610)</f>
        <v>75000</v>
      </c>
      <c r="L1607" s="80"/>
      <c r="M1607" s="82"/>
    </row>
    <row r="1608" spans="1:13" s="79" customFormat="1" ht="12.75" customHeight="1">
      <c r="A1608" s="407"/>
      <c r="C1608" s="158"/>
      <c r="D1608" s="446" t="s">
        <v>5</v>
      </c>
      <c r="E1608" s="446"/>
      <c r="F1608" s="446"/>
      <c r="G1608" s="446"/>
      <c r="H1608" s="446"/>
      <c r="I1608" s="29">
        <v>35000</v>
      </c>
      <c r="J1608" s="80">
        <f>35000+5000</f>
        <v>40000</v>
      </c>
      <c r="K1608" s="80">
        <f>SUM(I1608:J1608)</f>
        <v>75000</v>
      </c>
      <c r="L1608" s="80"/>
      <c r="M1608" s="82"/>
    </row>
    <row r="1609" spans="1:13" s="79" customFormat="1" ht="13.5" customHeight="1" hidden="1">
      <c r="A1609" s="407"/>
      <c r="C1609" s="158"/>
      <c r="D1609" s="446" t="s">
        <v>6</v>
      </c>
      <c r="E1609" s="446"/>
      <c r="F1609" s="446"/>
      <c r="G1609" s="446"/>
      <c r="H1609" s="446"/>
      <c r="I1609" s="29"/>
      <c r="J1609" s="80"/>
      <c r="K1609" s="80">
        <f>SUM(I1609:J1609)</f>
        <v>0</v>
      </c>
      <c r="L1609" s="80"/>
      <c r="M1609" s="82"/>
    </row>
    <row r="1610" spans="1:13" s="79" customFormat="1" ht="13.5" customHeight="1" hidden="1">
      <c r="A1610" s="407"/>
      <c r="C1610" s="158"/>
      <c r="D1610" s="446" t="s">
        <v>7</v>
      </c>
      <c r="E1610" s="446"/>
      <c r="F1610" s="446"/>
      <c r="G1610" s="446"/>
      <c r="H1610" s="446"/>
      <c r="I1610" s="29"/>
      <c r="J1610" s="80"/>
      <c r="K1610" s="80">
        <f>SUM(I1610:J1610)</f>
        <v>0</v>
      </c>
      <c r="L1610" s="80"/>
      <c r="M1610" s="82"/>
    </row>
    <row r="1611" spans="1:13" s="79" customFormat="1" ht="12.75" customHeight="1">
      <c r="A1611" s="407"/>
      <c r="C1611" s="158"/>
      <c r="D1611" s="447" t="s">
        <v>38</v>
      </c>
      <c r="E1611" s="447"/>
      <c r="F1611" s="447"/>
      <c r="G1611" s="447"/>
      <c r="H1611" s="447"/>
      <c r="I1611" s="253">
        <f>SUM(I1612:I1617)</f>
        <v>35000</v>
      </c>
      <c r="J1611" s="253">
        <f>SUM(J1612:J1617)</f>
        <v>40000</v>
      </c>
      <c r="K1611" s="253">
        <f>SUM(K1612:K1617)</f>
        <v>75000</v>
      </c>
      <c r="L1611" s="80"/>
      <c r="M1611" s="82"/>
    </row>
    <row r="1612" spans="1:13" s="79" customFormat="1" ht="13.5" customHeight="1" hidden="1">
      <c r="A1612" s="407"/>
      <c r="C1612" s="158"/>
      <c r="D1612" s="446" t="s">
        <v>289</v>
      </c>
      <c r="E1612" s="446"/>
      <c r="F1612" s="446"/>
      <c r="G1612" s="446"/>
      <c r="H1612" s="446"/>
      <c r="I1612" s="29"/>
      <c r="J1612" s="80"/>
      <c r="K1612" s="80">
        <f aca="true" t="shared" si="106" ref="K1612:K1617">SUM(I1612:J1612)</f>
        <v>0</v>
      </c>
      <c r="L1612" s="80"/>
      <c r="M1612" s="82"/>
    </row>
    <row r="1613" spans="1:13" s="79" customFormat="1" ht="13.5" customHeight="1" hidden="1">
      <c r="A1613" s="407"/>
      <c r="C1613" s="158"/>
      <c r="D1613" s="444" t="s">
        <v>8</v>
      </c>
      <c r="E1613" s="448"/>
      <c r="F1613" s="448"/>
      <c r="G1613" s="448"/>
      <c r="H1613" s="448"/>
      <c r="I1613" s="29"/>
      <c r="J1613" s="78"/>
      <c r="K1613" s="80">
        <f t="shared" si="106"/>
        <v>0</v>
      </c>
      <c r="L1613" s="80"/>
      <c r="M1613" s="82"/>
    </row>
    <row r="1614" spans="1:13" s="79" customFormat="1" ht="13.5" customHeight="1">
      <c r="A1614" s="407"/>
      <c r="C1614" s="158"/>
      <c r="D1614" s="444" t="s">
        <v>10</v>
      </c>
      <c r="E1614" s="444"/>
      <c r="F1614" s="444"/>
      <c r="G1614" s="444"/>
      <c r="H1614" s="444"/>
      <c r="I1614" s="29">
        <v>35000</v>
      </c>
      <c r="J1614" s="80">
        <f>35000+5000</f>
        <v>40000</v>
      </c>
      <c r="K1614" s="80">
        <f t="shared" si="106"/>
        <v>75000</v>
      </c>
      <c r="L1614" s="80"/>
      <c r="M1614" s="82"/>
    </row>
    <row r="1615" spans="1:13" s="79" customFormat="1" ht="13.5" customHeight="1" hidden="1">
      <c r="A1615" s="407"/>
      <c r="C1615" s="151"/>
      <c r="D1615" s="444" t="s">
        <v>9</v>
      </c>
      <c r="E1615" s="444"/>
      <c r="F1615" s="444"/>
      <c r="G1615" s="444"/>
      <c r="H1615" s="444"/>
      <c r="I1615" s="29"/>
      <c r="J1615" s="78"/>
      <c r="K1615" s="80">
        <f t="shared" si="106"/>
        <v>0</v>
      </c>
      <c r="L1615" s="80"/>
      <c r="M1615" s="82"/>
    </row>
    <row r="1616" spans="1:13" s="79" customFormat="1" ht="13.5" customHeight="1" hidden="1">
      <c r="A1616" s="407"/>
      <c r="C1616" s="149"/>
      <c r="D1616" s="444" t="s">
        <v>11</v>
      </c>
      <c r="E1616" s="444"/>
      <c r="F1616" s="444"/>
      <c r="G1616" s="444"/>
      <c r="H1616" s="444"/>
      <c r="I1616" s="29"/>
      <c r="J1616" s="80"/>
      <c r="K1616" s="80">
        <f t="shared" si="106"/>
        <v>0</v>
      </c>
      <c r="L1616" s="80"/>
      <c r="M1616" s="82"/>
    </row>
    <row r="1617" spans="1:13" s="79" customFormat="1" ht="13.5" customHeight="1" hidden="1">
      <c r="A1617" s="407"/>
      <c r="C1617" s="151"/>
      <c r="D1617" s="444" t="s">
        <v>12</v>
      </c>
      <c r="E1617" s="444"/>
      <c r="F1617" s="444"/>
      <c r="G1617" s="444"/>
      <c r="H1617" s="444"/>
      <c r="I1617" s="29"/>
      <c r="J1617" s="78"/>
      <c r="K1617" s="80">
        <f t="shared" si="106"/>
        <v>0</v>
      </c>
      <c r="L1617" s="80"/>
      <c r="M1617" s="82"/>
    </row>
    <row r="1618" spans="1:13" s="79" customFormat="1" ht="13.5" customHeight="1">
      <c r="A1618" s="407"/>
      <c r="C1618" s="151"/>
      <c r="D1618" s="445" t="s">
        <v>277</v>
      </c>
      <c r="E1618" s="445"/>
      <c r="F1618" s="445"/>
      <c r="G1618" s="445"/>
      <c r="H1618" s="445"/>
      <c r="I1618" s="77">
        <f>I1607-I1611</f>
        <v>0</v>
      </c>
      <c r="J1618" s="77">
        <f>J1607-J1611</f>
        <v>0</v>
      </c>
      <c r="K1618" s="77">
        <f>K1607-K1611</f>
        <v>0</v>
      </c>
      <c r="L1618" s="80"/>
      <c r="M1618" s="82"/>
    </row>
    <row r="1619" spans="1:13" s="79" customFormat="1" ht="14.25" customHeight="1">
      <c r="A1619" s="407"/>
      <c r="C1619" s="151"/>
      <c r="D1619" s="444" t="s">
        <v>279</v>
      </c>
      <c r="E1619" s="444"/>
      <c r="F1619" s="444"/>
      <c r="G1619" s="444"/>
      <c r="H1619" s="444"/>
      <c r="I1619" s="29">
        <f>I1620+I1621+I1622</f>
        <v>0</v>
      </c>
      <c r="J1619" s="29">
        <f>J1620+J1621+J1622</f>
        <v>0</v>
      </c>
      <c r="K1619" s="29">
        <f>K1620+K1621+K1622</f>
        <v>0</v>
      </c>
      <c r="L1619" s="80"/>
      <c r="M1619" s="82"/>
    </row>
    <row r="1620" spans="1:13" s="79" customFormat="1" ht="14.25" customHeight="1" hidden="1">
      <c r="A1620" s="407"/>
      <c r="C1620" s="151"/>
      <c r="D1620" s="444" t="s">
        <v>278</v>
      </c>
      <c r="E1620" s="444"/>
      <c r="F1620" s="444"/>
      <c r="G1620" s="444"/>
      <c r="H1620" s="444"/>
      <c r="I1620" s="29"/>
      <c r="J1620" s="77"/>
      <c r="K1620" s="80">
        <f>SUM(I1620:J1620)</f>
        <v>0</v>
      </c>
      <c r="L1620" s="80"/>
      <c r="M1620" s="82"/>
    </row>
    <row r="1621" spans="1:13" s="79" customFormat="1" ht="14.25" customHeight="1" hidden="1">
      <c r="A1621" s="407"/>
      <c r="C1621" s="151"/>
      <c r="D1621" s="444" t="s">
        <v>280</v>
      </c>
      <c r="E1621" s="444"/>
      <c r="F1621" s="444"/>
      <c r="G1621" s="444"/>
      <c r="H1621" s="444"/>
      <c r="I1621" s="29"/>
      <c r="J1621" s="77"/>
      <c r="K1621" s="80">
        <f>SUM(I1621:J1621)</f>
        <v>0</v>
      </c>
      <c r="L1621" s="80"/>
      <c r="M1621" s="82"/>
    </row>
    <row r="1622" spans="1:13" s="79" customFormat="1" ht="14.25" customHeight="1" hidden="1">
      <c r="A1622" s="407"/>
      <c r="C1622" s="151"/>
      <c r="D1622" s="444" t="s">
        <v>281</v>
      </c>
      <c r="E1622" s="444"/>
      <c r="F1622" s="444"/>
      <c r="G1622" s="444"/>
      <c r="H1622" s="444"/>
      <c r="I1622" s="29"/>
      <c r="J1622" s="77"/>
      <c r="K1622" s="80">
        <f>SUM(I1622:J1622)</f>
        <v>0</v>
      </c>
      <c r="L1622" s="80"/>
      <c r="M1622" s="82"/>
    </row>
    <row r="1623" spans="1:13" s="79" customFormat="1" ht="60.75" customHeight="1">
      <c r="A1623" s="407"/>
      <c r="C1623" s="151"/>
      <c r="D1623" s="85"/>
      <c r="E1623" s="85"/>
      <c r="F1623" s="85"/>
      <c r="G1623" s="85"/>
      <c r="H1623" s="85"/>
      <c r="I1623" s="29"/>
      <c r="J1623" s="78"/>
      <c r="K1623" s="80"/>
      <c r="L1623" s="80"/>
      <c r="M1623" s="82"/>
    </row>
    <row r="1624" ht="12.75" customHeight="1" hidden="1">
      <c r="L1624" s="93"/>
    </row>
    <row r="1625" spans="1:13" s="15" customFormat="1" ht="12.75" customHeight="1">
      <c r="A1625" s="407"/>
      <c r="C1625" s="157" t="s">
        <v>65</v>
      </c>
      <c r="D1625" s="454" t="s">
        <v>545</v>
      </c>
      <c r="E1625" s="454"/>
      <c r="F1625" s="454"/>
      <c r="G1625" s="454"/>
      <c r="H1625" s="454"/>
      <c r="I1625" s="17"/>
      <c r="J1625" s="126"/>
      <c r="K1625" s="126"/>
      <c r="L1625" s="127"/>
      <c r="M1625" s="95"/>
    </row>
    <row r="1626" spans="1:13" s="15" customFormat="1" ht="13.5" customHeight="1">
      <c r="A1626" s="407"/>
      <c r="C1626" s="158"/>
      <c r="D1626" s="447" t="s">
        <v>37</v>
      </c>
      <c r="E1626" s="447"/>
      <c r="F1626" s="447"/>
      <c r="G1626" s="447"/>
      <c r="H1626" s="447"/>
      <c r="I1626" s="77">
        <f>SUM(I1627:I1629)</f>
        <v>1322589</v>
      </c>
      <c r="J1626" s="77">
        <f>SUM(J1627:J1629)</f>
        <v>0</v>
      </c>
      <c r="K1626" s="77">
        <f>SUM(K1627:K1629)</f>
        <v>1322589</v>
      </c>
      <c r="L1626" s="127"/>
      <c r="M1626" s="95"/>
    </row>
    <row r="1627" spans="1:13" s="15" customFormat="1" ht="13.5" customHeight="1">
      <c r="A1627" s="407"/>
      <c r="C1627" s="158"/>
      <c r="D1627" s="446" t="s">
        <v>5</v>
      </c>
      <c r="E1627" s="446"/>
      <c r="F1627" s="446"/>
      <c r="G1627" s="446"/>
      <c r="H1627" s="446"/>
      <c r="I1627" s="29">
        <f>1160</f>
        <v>1160</v>
      </c>
      <c r="J1627" s="80"/>
      <c r="K1627" s="80">
        <f>SUM(I1627:J1627)</f>
        <v>1160</v>
      </c>
      <c r="L1627" s="127"/>
      <c r="M1627" s="95"/>
    </row>
    <row r="1628" spans="1:13" s="15" customFormat="1" ht="13.5" customHeight="1" hidden="1">
      <c r="A1628" s="407"/>
      <c r="C1628" s="158"/>
      <c r="D1628" s="446" t="s">
        <v>6</v>
      </c>
      <c r="E1628" s="446"/>
      <c r="F1628" s="446"/>
      <c r="G1628" s="446"/>
      <c r="H1628" s="446"/>
      <c r="I1628" s="29"/>
      <c r="J1628" s="80"/>
      <c r="K1628" s="80">
        <f>SUM(I1628:J1628)</f>
        <v>0</v>
      </c>
      <c r="L1628" s="127"/>
      <c r="M1628" s="95"/>
    </row>
    <row r="1629" spans="1:13" s="15" customFormat="1" ht="13.5" customHeight="1">
      <c r="A1629" s="407"/>
      <c r="C1629" s="158"/>
      <c r="D1629" s="446" t="s">
        <v>7</v>
      </c>
      <c r="E1629" s="446"/>
      <c r="F1629" s="446"/>
      <c r="G1629" s="446"/>
      <c r="H1629" s="446"/>
      <c r="I1629" s="29">
        <f>1321429</f>
        <v>1321429</v>
      </c>
      <c r="J1629" s="80"/>
      <c r="K1629" s="80">
        <f>SUM(I1629:J1629)</f>
        <v>1321429</v>
      </c>
      <c r="L1629" s="127"/>
      <c r="M1629" s="95"/>
    </row>
    <row r="1630" spans="1:13" s="15" customFormat="1" ht="13.5" customHeight="1">
      <c r="A1630" s="407"/>
      <c r="C1630" s="158"/>
      <c r="D1630" s="447" t="s">
        <v>38</v>
      </c>
      <c r="E1630" s="447"/>
      <c r="F1630" s="447"/>
      <c r="G1630" s="447"/>
      <c r="H1630" s="447"/>
      <c r="I1630" s="253">
        <f>SUM(I1631:I1636)</f>
        <v>1711800</v>
      </c>
      <c r="J1630" s="253">
        <f>SUM(J1631:J1636)</f>
        <v>0</v>
      </c>
      <c r="K1630" s="253">
        <f>SUM(K1631:K1636)</f>
        <v>1711800</v>
      </c>
      <c r="L1630" s="127"/>
      <c r="M1630" s="95"/>
    </row>
    <row r="1631" spans="1:13" s="15" customFormat="1" ht="13.5" customHeight="1">
      <c r="A1631" s="407"/>
      <c r="C1631" s="158"/>
      <c r="D1631" s="446" t="s">
        <v>289</v>
      </c>
      <c r="E1631" s="446"/>
      <c r="F1631" s="446"/>
      <c r="G1631" s="446"/>
      <c r="H1631" s="446"/>
      <c r="I1631" s="29">
        <f>27549</f>
        <v>27549</v>
      </c>
      <c r="J1631" s="80"/>
      <c r="K1631" s="80">
        <f aca="true" t="shared" si="107" ref="K1631:K1636">SUM(I1631:J1631)</f>
        <v>27549</v>
      </c>
      <c r="L1631" s="127"/>
      <c r="M1631" s="95"/>
    </row>
    <row r="1632" spans="1:13" s="15" customFormat="1" ht="13.5" customHeight="1">
      <c r="A1632" s="407"/>
      <c r="C1632" s="158"/>
      <c r="D1632" s="444" t="s">
        <v>8</v>
      </c>
      <c r="E1632" s="448"/>
      <c r="F1632" s="448"/>
      <c r="G1632" s="448"/>
      <c r="H1632" s="448"/>
      <c r="I1632" s="29">
        <f>24316</f>
        <v>24316</v>
      </c>
      <c r="J1632" s="80"/>
      <c r="K1632" s="80">
        <f t="shared" si="107"/>
        <v>24316</v>
      </c>
      <c r="L1632" s="127"/>
      <c r="M1632" s="95"/>
    </row>
    <row r="1633" spans="1:13" s="15" customFormat="1" ht="13.5" customHeight="1" hidden="1">
      <c r="A1633" s="407"/>
      <c r="C1633" s="158"/>
      <c r="D1633" s="444" t="s">
        <v>10</v>
      </c>
      <c r="E1633" s="444"/>
      <c r="F1633" s="444"/>
      <c r="G1633" s="444"/>
      <c r="H1633" s="444"/>
      <c r="I1633" s="29"/>
      <c r="J1633" s="80"/>
      <c r="K1633" s="80">
        <f t="shared" si="107"/>
        <v>0</v>
      </c>
      <c r="L1633" s="127"/>
      <c r="M1633" s="95"/>
    </row>
    <row r="1634" spans="1:13" s="79" customFormat="1" ht="13.5" customHeight="1" hidden="1">
      <c r="A1634" s="407"/>
      <c r="C1634" s="151"/>
      <c r="D1634" s="444" t="s">
        <v>9</v>
      </c>
      <c r="E1634" s="444"/>
      <c r="F1634" s="444"/>
      <c r="G1634" s="444"/>
      <c r="H1634" s="444"/>
      <c r="I1634" s="29"/>
      <c r="J1634" s="80"/>
      <c r="K1634" s="80">
        <f t="shared" si="107"/>
        <v>0</v>
      </c>
      <c r="L1634" s="80"/>
      <c r="M1634" s="82"/>
    </row>
    <row r="1635" spans="1:12" s="82" customFormat="1" ht="12.75" customHeight="1">
      <c r="A1635" s="407"/>
      <c r="C1635" s="149"/>
      <c r="D1635" s="444" t="s">
        <v>11</v>
      </c>
      <c r="E1635" s="444"/>
      <c r="F1635" s="444"/>
      <c r="G1635" s="444"/>
      <c r="H1635" s="444"/>
      <c r="I1635" s="29">
        <f>1659935</f>
        <v>1659935</v>
      </c>
      <c r="J1635" s="80"/>
      <c r="K1635" s="80">
        <f t="shared" si="107"/>
        <v>1659935</v>
      </c>
      <c r="L1635" s="80"/>
    </row>
    <row r="1636" spans="1:13" s="79" customFormat="1" ht="13.5" customHeight="1" hidden="1">
      <c r="A1636" s="407"/>
      <c r="C1636" s="151"/>
      <c r="D1636" s="444" t="s">
        <v>12</v>
      </c>
      <c r="E1636" s="444"/>
      <c r="F1636" s="444"/>
      <c r="G1636" s="444"/>
      <c r="H1636" s="444"/>
      <c r="I1636" s="29"/>
      <c r="J1636" s="80"/>
      <c r="K1636" s="80">
        <f t="shared" si="107"/>
        <v>0</v>
      </c>
      <c r="L1636" s="80"/>
      <c r="M1636" s="82"/>
    </row>
    <row r="1637" spans="1:13" s="79" customFormat="1" ht="13.5" customHeight="1">
      <c r="A1637" s="407"/>
      <c r="C1637" s="151"/>
      <c r="D1637" s="445" t="s">
        <v>277</v>
      </c>
      <c r="E1637" s="445"/>
      <c r="F1637" s="445"/>
      <c r="G1637" s="445"/>
      <c r="H1637" s="445"/>
      <c r="I1637" s="77">
        <f>I1626-I1630</f>
        <v>-389211</v>
      </c>
      <c r="J1637" s="77">
        <f>J1626-J1630</f>
        <v>0</v>
      </c>
      <c r="K1637" s="77">
        <f>K1626-K1630</f>
        <v>-389211</v>
      </c>
      <c r="L1637" s="80"/>
      <c r="M1637" s="82"/>
    </row>
    <row r="1638" spans="1:13" s="79" customFormat="1" ht="13.5" customHeight="1">
      <c r="A1638" s="407"/>
      <c r="C1638" s="151"/>
      <c r="D1638" s="444" t="s">
        <v>279</v>
      </c>
      <c r="E1638" s="444"/>
      <c r="F1638" s="444"/>
      <c r="G1638" s="444"/>
      <c r="H1638" s="444"/>
      <c r="I1638" s="29">
        <f>I1639+I1640+I1641</f>
        <v>389211</v>
      </c>
      <c r="J1638" s="29">
        <f>J1639+J1640+J1641</f>
        <v>0</v>
      </c>
      <c r="K1638" s="29">
        <f>K1639+K1640+K1641</f>
        <v>389211</v>
      </c>
      <c r="L1638" s="80"/>
      <c r="M1638" s="82"/>
    </row>
    <row r="1639" spans="1:13" s="79" customFormat="1" ht="13.5" customHeight="1" hidden="1">
      <c r="A1639" s="407"/>
      <c r="C1639" s="151"/>
      <c r="D1639" s="444" t="s">
        <v>278</v>
      </c>
      <c r="E1639" s="444"/>
      <c r="F1639" s="444"/>
      <c r="G1639" s="444"/>
      <c r="H1639" s="444"/>
      <c r="I1639" s="29"/>
      <c r="J1639" s="77"/>
      <c r="K1639" s="80">
        <f>SUM(I1639:J1639)</f>
        <v>0</v>
      </c>
      <c r="L1639" s="80"/>
      <c r="M1639" s="82"/>
    </row>
    <row r="1640" spans="1:13" s="79" customFormat="1" ht="13.5" customHeight="1">
      <c r="A1640" s="407"/>
      <c r="C1640" s="151"/>
      <c r="D1640" s="444" t="s">
        <v>280</v>
      </c>
      <c r="E1640" s="444"/>
      <c r="F1640" s="444"/>
      <c r="G1640" s="444"/>
      <c r="H1640" s="444"/>
      <c r="I1640" s="29">
        <f>389211</f>
        <v>389211</v>
      </c>
      <c r="J1640" s="29"/>
      <c r="K1640" s="80">
        <f>SUM(I1640:J1640)</f>
        <v>389211</v>
      </c>
      <c r="L1640" s="80"/>
      <c r="M1640" s="82"/>
    </row>
    <row r="1641" spans="1:13" s="79" customFormat="1" ht="13.5" customHeight="1" hidden="1">
      <c r="A1641" s="407"/>
      <c r="C1641" s="151"/>
      <c r="D1641" s="444" t="s">
        <v>281</v>
      </c>
      <c r="E1641" s="444"/>
      <c r="F1641" s="444"/>
      <c r="G1641" s="444"/>
      <c r="H1641" s="444"/>
      <c r="I1641" s="29"/>
      <c r="J1641" s="77"/>
      <c r="K1641" s="80">
        <f>SUM(I1641:J1641)</f>
        <v>0</v>
      </c>
      <c r="L1641" s="80"/>
      <c r="M1641" s="82"/>
    </row>
    <row r="1642" spans="1:13" s="79" customFormat="1" ht="6.75" customHeight="1">
      <c r="A1642" s="407"/>
      <c r="C1642" s="151"/>
      <c r="D1642" s="85"/>
      <c r="E1642" s="85"/>
      <c r="F1642" s="85"/>
      <c r="G1642" s="85"/>
      <c r="H1642" s="85"/>
      <c r="I1642" s="29"/>
      <c r="J1642" s="78"/>
      <c r="K1642" s="80"/>
      <c r="L1642" s="80"/>
      <c r="M1642" s="82"/>
    </row>
    <row r="1643" spans="1:13" s="79" customFormat="1" ht="2.25" customHeight="1">
      <c r="A1643" s="407"/>
      <c r="C1643" s="151"/>
      <c r="D1643" s="85"/>
      <c r="E1643" s="85"/>
      <c r="F1643" s="85"/>
      <c r="G1643" s="85"/>
      <c r="H1643" s="85"/>
      <c r="I1643" s="29"/>
      <c r="J1643" s="78"/>
      <c r="K1643" s="80"/>
      <c r="L1643" s="80"/>
      <c r="M1643" s="82"/>
    </row>
    <row r="1644" spans="1:13" s="79" customFormat="1" ht="12.75" customHeight="1">
      <c r="A1644" s="407"/>
      <c r="C1644" s="157" t="s">
        <v>69</v>
      </c>
      <c r="D1644" s="454" t="s">
        <v>546</v>
      </c>
      <c r="E1644" s="454"/>
      <c r="F1644" s="454"/>
      <c r="G1644" s="454"/>
      <c r="H1644" s="454"/>
      <c r="I1644" s="17"/>
      <c r="J1644" s="126"/>
      <c r="K1644" s="126"/>
      <c r="L1644" s="80"/>
      <c r="M1644" s="82"/>
    </row>
    <row r="1645" spans="1:13" s="79" customFormat="1" ht="13.5" customHeight="1">
      <c r="A1645" s="407"/>
      <c r="C1645" s="158"/>
      <c r="D1645" s="447" t="s">
        <v>37</v>
      </c>
      <c r="E1645" s="447"/>
      <c r="F1645" s="447"/>
      <c r="G1645" s="447"/>
      <c r="H1645" s="447"/>
      <c r="I1645" s="77">
        <f>SUM(I1646:I1648)</f>
        <v>1594</v>
      </c>
      <c r="J1645" s="77">
        <f>SUM(J1646:J1648)</f>
        <v>0</v>
      </c>
      <c r="K1645" s="77">
        <f>SUM(K1646:K1648)</f>
        <v>1594</v>
      </c>
      <c r="L1645" s="80"/>
      <c r="M1645" s="82"/>
    </row>
    <row r="1646" spans="1:13" s="79" customFormat="1" ht="12.75" customHeight="1">
      <c r="A1646" s="407"/>
      <c r="C1646" s="158"/>
      <c r="D1646" s="446" t="s">
        <v>5</v>
      </c>
      <c r="E1646" s="446"/>
      <c r="F1646" s="446"/>
      <c r="G1646" s="446"/>
      <c r="H1646" s="446"/>
      <c r="I1646" s="29">
        <f>1594</f>
        <v>1594</v>
      </c>
      <c r="J1646" s="80"/>
      <c r="K1646" s="80">
        <f>SUM(I1646:J1646)</f>
        <v>1594</v>
      </c>
      <c r="L1646" s="80"/>
      <c r="M1646" s="82"/>
    </row>
    <row r="1647" spans="1:13" s="79" customFormat="1" ht="13.5" customHeight="1" hidden="1">
      <c r="A1647" s="407"/>
      <c r="C1647" s="158"/>
      <c r="D1647" s="446" t="s">
        <v>6</v>
      </c>
      <c r="E1647" s="446"/>
      <c r="F1647" s="446"/>
      <c r="G1647" s="446"/>
      <c r="H1647" s="446"/>
      <c r="I1647" s="29"/>
      <c r="J1647" s="80"/>
      <c r="K1647" s="80">
        <f>SUM(I1647:J1647)</f>
        <v>0</v>
      </c>
      <c r="L1647" s="80"/>
      <c r="M1647" s="82"/>
    </row>
    <row r="1648" spans="1:13" s="79" customFormat="1" ht="13.5" customHeight="1" hidden="1">
      <c r="A1648" s="407"/>
      <c r="C1648" s="158"/>
      <c r="D1648" s="446" t="s">
        <v>7</v>
      </c>
      <c r="E1648" s="446"/>
      <c r="F1648" s="446"/>
      <c r="G1648" s="446"/>
      <c r="H1648" s="446"/>
      <c r="I1648" s="29"/>
      <c r="J1648" s="80"/>
      <c r="K1648" s="80">
        <f>SUM(I1648:J1648)</f>
        <v>0</v>
      </c>
      <c r="L1648" s="80"/>
      <c r="M1648" s="82"/>
    </row>
    <row r="1649" spans="1:13" s="79" customFormat="1" ht="13.5" customHeight="1">
      <c r="A1649" s="407"/>
      <c r="C1649" s="158"/>
      <c r="D1649" s="447" t="s">
        <v>38</v>
      </c>
      <c r="E1649" s="447"/>
      <c r="F1649" s="447"/>
      <c r="G1649" s="447"/>
      <c r="H1649" s="447"/>
      <c r="I1649" s="253">
        <f>SUM(I1650:I1655)</f>
        <v>1594</v>
      </c>
      <c r="J1649" s="253">
        <f>SUM(J1650:J1655)</f>
        <v>0</v>
      </c>
      <c r="K1649" s="253">
        <f>SUM(K1650:K1655)</f>
        <v>1594</v>
      </c>
      <c r="L1649" s="80"/>
      <c r="M1649" s="82"/>
    </row>
    <row r="1650" spans="1:13" s="79" customFormat="1" ht="13.5" customHeight="1" hidden="1">
      <c r="A1650" s="407"/>
      <c r="C1650" s="158"/>
      <c r="D1650" s="446" t="s">
        <v>289</v>
      </c>
      <c r="E1650" s="446"/>
      <c r="F1650" s="446"/>
      <c r="G1650" s="446"/>
      <c r="H1650" s="446"/>
      <c r="I1650" s="29"/>
      <c r="J1650" s="80"/>
      <c r="K1650" s="80">
        <f aca="true" t="shared" si="108" ref="K1650:K1655">SUM(I1650:J1650)</f>
        <v>0</v>
      </c>
      <c r="L1650" s="80"/>
      <c r="M1650" s="82"/>
    </row>
    <row r="1651" spans="1:13" s="79" customFormat="1" ht="12.75" customHeight="1">
      <c r="A1651" s="407"/>
      <c r="C1651" s="158"/>
      <c r="D1651" s="444" t="s">
        <v>8</v>
      </c>
      <c r="E1651" s="448"/>
      <c r="F1651" s="448"/>
      <c r="G1651" s="448"/>
      <c r="H1651" s="448"/>
      <c r="I1651" s="29">
        <f>1594</f>
        <v>1594</v>
      </c>
      <c r="J1651" s="80"/>
      <c r="K1651" s="80">
        <f t="shared" si="108"/>
        <v>1594</v>
      </c>
      <c r="L1651" s="80"/>
      <c r="M1651" s="82"/>
    </row>
    <row r="1652" spans="1:13" s="79" customFormat="1" ht="13.5" customHeight="1" hidden="1">
      <c r="A1652" s="407"/>
      <c r="C1652" s="158"/>
      <c r="D1652" s="444" t="s">
        <v>10</v>
      </c>
      <c r="E1652" s="444"/>
      <c r="F1652" s="444"/>
      <c r="G1652" s="444"/>
      <c r="H1652" s="444"/>
      <c r="I1652" s="29"/>
      <c r="J1652" s="80"/>
      <c r="K1652" s="80">
        <f t="shared" si="108"/>
        <v>0</v>
      </c>
      <c r="L1652" s="80"/>
      <c r="M1652" s="82"/>
    </row>
    <row r="1653" spans="1:13" s="79" customFormat="1" ht="13.5" customHeight="1" hidden="1">
      <c r="A1653" s="407"/>
      <c r="C1653" s="151"/>
      <c r="D1653" s="444" t="s">
        <v>9</v>
      </c>
      <c r="E1653" s="444"/>
      <c r="F1653" s="444"/>
      <c r="G1653" s="444"/>
      <c r="H1653" s="444"/>
      <c r="I1653" s="29"/>
      <c r="J1653" s="80"/>
      <c r="K1653" s="80">
        <f t="shared" si="108"/>
        <v>0</v>
      </c>
      <c r="L1653" s="80"/>
      <c r="M1653" s="82"/>
    </row>
    <row r="1654" spans="1:13" s="79" customFormat="1" ht="13.5" customHeight="1" hidden="1">
      <c r="A1654" s="407"/>
      <c r="C1654" s="149"/>
      <c r="D1654" s="444" t="s">
        <v>11</v>
      </c>
      <c r="E1654" s="444"/>
      <c r="F1654" s="444"/>
      <c r="G1654" s="444"/>
      <c r="H1654" s="444"/>
      <c r="I1654" s="29"/>
      <c r="J1654" s="80"/>
      <c r="K1654" s="80">
        <f t="shared" si="108"/>
        <v>0</v>
      </c>
      <c r="L1654" s="80"/>
      <c r="M1654" s="82"/>
    </row>
    <row r="1655" spans="1:13" s="79" customFormat="1" ht="13.5" customHeight="1" hidden="1">
      <c r="A1655" s="407"/>
      <c r="C1655" s="151"/>
      <c r="D1655" s="444" t="s">
        <v>12</v>
      </c>
      <c r="E1655" s="444"/>
      <c r="F1655" s="444"/>
      <c r="G1655" s="444"/>
      <c r="H1655" s="444"/>
      <c r="I1655" s="29"/>
      <c r="J1655" s="80"/>
      <c r="K1655" s="80">
        <f t="shared" si="108"/>
        <v>0</v>
      </c>
      <c r="L1655" s="80"/>
      <c r="M1655" s="82"/>
    </row>
    <row r="1656" spans="1:13" s="79" customFormat="1" ht="13.5" customHeight="1">
      <c r="A1656" s="407"/>
      <c r="C1656" s="151"/>
      <c r="D1656" s="445" t="s">
        <v>277</v>
      </c>
      <c r="E1656" s="445"/>
      <c r="F1656" s="445"/>
      <c r="G1656" s="445"/>
      <c r="H1656" s="445"/>
      <c r="I1656" s="77">
        <f>I1645-I1649</f>
        <v>0</v>
      </c>
      <c r="J1656" s="77">
        <f>J1645-J1649</f>
        <v>0</v>
      </c>
      <c r="K1656" s="77">
        <f>K1645-K1649</f>
        <v>0</v>
      </c>
      <c r="L1656" s="80"/>
      <c r="M1656" s="82"/>
    </row>
    <row r="1657" spans="1:13" s="79" customFormat="1" ht="12.75" customHeight="1">
      <c r="A1657" s="407"/>
      <c r="C1657" s="151"/>
      <c r="D1657" s="444" t="s">
        <v>279</v>
      </c>
      <c r="E1657" s="444"/>
      <c r="F1657" s="444"/>
      <c r="G1657" s="444"/>
      <c r="H1657" s="444"/>
      <c r="I1657" s="29">
        <f>I1658+I1659+I1660</f>
        <v>0</v>
      </c>
      <c r="J1657" s="29">
        <f>J1658+J1659+J1660</f>
        <v>0</v>
      </c>
      <c r="K1657" s="29">
        <f>K1658+K1659+K1660</f>
        <v>0</v>
      </c>
      <c r="L1657" s="80"/>
      <c r="M1657" s="82"/>
    </row>
    <row r="1658" spans="1:13" s="79" customFormat="1" ht="13.5" customHeight="1" hidden="1">
      <c r="A1658" s="407"/>
      <c r="C1658" s="151"/>
      <c r="D1658" s="444" t="s">
        <v>278</v>
      </c>
      <c r="E1658" s="444"/>
      <c r="F1658" s="444"/>
      <c r="G1658" s="444"/>
      <c r="H1658" s="444"/>
      <c r="I1658" s="29"/>
      <c r="J1658" s="77"/>
      <c r="K1658" s="80">
        <f>SUM(I1658:J1658)</f>
        <v>0</v>
      </c>
      <c r="L1658" s="80"/>
      <c r="M1658" s="82"/>
    </row>
    <row r="1659" spans="1:13" s="79" customFormat="1" ht="13.5" customHeight="1" hidden="1">
      <c r="A1659" s="407"/>
      <c r="C1659" s="151"/>
      <c r="D1659" s="444" t="s">
        <v>280</v>
      </c>
      <c r="E1659" s="444"/>
      <c r="F1659" s="444"/>
      <c r="G1659" s="444"/>
      <c r="H1659" s="444"/>
      <c r="I1659" s="29"/>
      <c r="J1659" s="29"/>
      <c r="K1659" s="80">
        <f>SUM(I1659:J1659)</f>
        <v>0</v>
      </c>
      <c r="L1659" s="80"/>
      <c r="M1659" s="82"/>
    </row>
    <row r="1660" spans="1:13" s="79" customFormat="1" ht="13.5" customHeight="1" hidden="1">
      <c r="A1660" s="407"/>
      <c r="C1660" s="151"/>
      <c r="D1660" s="444" t="s">
        <v>281</v>
      </c>
      <c r="E1660" s="444"/>
      <c r="F1660" s="444"/>
      <c r="G1660" s="444"/>
      <c r="H1660" s="444"/>
      <c r="I1660" s="29"/>
      <c r="J1660" s="77"/>
      <c r="K1660" s="80">
        <f>SUM(I1660:J1660)</f>
        <v>0</v>
      </c>
      <c r="L1660" s="80"/>
      <c r="M1660" s="82"/>
    </row>
    <row r="1661" spans="1:13" s="79" customFormat="1" ht="1.5" customHeight="1">
      <c r="A1661" s="407"/>
      <c r="C1661" s="151"/>
      <c r="D1661" s="85"/>
      <c r="E1661" s="85"/>
      <c r="F1661" s="85"/>
      <c r="G1661" s="85"/>
      <c r="H1661" s="85"/>
      <c r="I1661" s="29"/>
      <c r="J1661" s="78"/>
      <c r="K1661" s="80"/>
      <c r="L1661" s="80"/>
      <c r="M1661" s="82"/>
    </row>
    <row r="1662" spans="1:13" s="79" customFormat="1" ht="9" customHeight="1">
      <c r="A1662" s="407"/>
      <c r="C1662" s="151"/>
      <c r="D1662" s="85"/>
      <c r="E1662" s="85"/>
      <c r="F1662" s="85"/>
      <c r="G1662" s="85"/>
      <c r="H1662" s="85"/>
      <c r="I1662" s="29"/>
      <c r="J1662" s="78"/>
      <c r="K1662" s="80"/>
      <c r="L1662" s="80"/>
      <c r="M1662" s="82"/>
    </row>
    <row r="1663" spans="1:12" s="95" customFormat="1" ht="13.5" customHeight="1">
      <c r="A1663" s="407"/>
      <c r="C1663" s="157" t="s">
        <v>108</v>
      </c>
      <c r="D1663" s="454" t="s">
        <v>13</v>
      </c>
      <c r="E1663" s="454"/>
      <c r="F1663" s="454"/>
      <c r="G1663" s="454"/>
      <c r="H1663" s="454"/>
      <c r="I1663" s="129"/>
      <c r="J1663" s="127"/>
      <c r="K1663" s="127"/>
      <c r="L1663" s="127"/>
    </row>
    <row r="1664" spans="1:13" s="79" customFormat="1" ht="12.75" customHeight="1">
      <c r="A1664" s="407"/>
      <c r="C1664" s="151"/>
      <c r="D1664" s="447" t="s">
        <v>37</v>
      </c>
      <c r="E1664" s="447"/>
      <c r="F1664" s="447"/>
      <c r="G1664" s="447"/>
      <c r="H1664" s="447"/>
      <c r="I1664" s="77">
        <f>SUM(I1665:I1667)</f>
        <v>114081</v>
      </c>
      <c r="J1664" s="77">
        <f>SUM(J1665:J1667)</f>
        <v>0</v>
      </c>
      <c r="K1664" s="77">
        <f>SUM(K1665:K1667)</f>
        <v>114081</v>
      </c>
      <c r="L1664" s="80"/>
      <c r="M1664" s="82"/>
    </row>
    <row r="1665" spans="1:13" s="79" customFormat="1" ht="13.5" customHeight="1" hidden="1">
      <c r="A1665" s="407"/>
      <c r="C1665" s="151"/>
      <c r="D1665" s="446" t="s">
        <v>5</v>
      </c>
      <c r="E1665" s="446"/>
      <c r="F1665" s="446"/>
      <c r="G1665" s="446"/>
      <c r="H1665" s="446"/>
      <c r="I1665" s="29"/>
      <c r="J1665" s="29"/>
      <c r="K1665" s="29">
        <f>SUM(I1665:J1665)</f>
        <v>0</v>
      </c>
      <c r="L1665" s="80"/>
      <c r="M1665" s="82"/>
    </row>
    <row r="1666" spans="1:13" s="79" customFormat="1" ht="13.5" customHeight="1" hidden="1">
      <c r="A1666" s="407"/>
      <c r="C1666" s="151"/>
      <c r="D1666" s="446" t="s">
        <v>6</v>
      </c>
      <c r="E1666" s="446"/>
      <c r="F1666" s="446"/>
      <c r="G1666" s="446"/>
      <c r="H1666" s="446"/>
      <c r="I1666" s="29"/>
      <c r="J1666" s="29"/>
      <c r="K1666" s="29">
        <f>SUM(I1666:J1666)</f>
        <v>0</v>
      </c>
      <c r="L1666" s="80"/>
      <c r="M1666" s="82"/>
    </row>
    <row r="1667" spans="1:13" s="79" customFormat="1" ht="13.5" customHeight="1">
      <c r="A1667" s="407"/>
      <c r="C1667" s="151"/>
      <c r="D1667" s="446" t="s">
        <v>7</v>
      </c>
      <c r="E1667" s="446"/>
      <c r="F1667" s="446"/>
      <c r="G1667" s="446"/>
      <c r="H1667" s="446"/>
      <c r="I1667" s="29">
        <f>112581+1500</f>
        <v>114081</v>
      </c>
      <c r="J1667" s="29"/>
      <c r="K1667" s="29">
        <f>SUM(I1667:J1667)</f>
        <v>114081</v>
      </c>
      <c r="L1667" s="80"/>
      <c r="M1667" s="82"/>
    </row>
    <row r="1668" spans="1:13" s="79" customFormat="1" ht="13.5" customHeight="1">
      <c r="A1668" s="407"/>
      <c r="C1668" s="151"/>
      <c r="D1668" s="447" t="s">
        <v>38</v>
      </c>
      <c r="E1668" s="447"/>
      <c r="F1668" s="447"/>
      <c r="G1668" s="447"/>
      <c r="H1668" s="447"/>
      <c r="I1668" s="253">
        <f>SUM(I1669:I1674)</f>
        <v>221586</v>
      </c>
      <c r="J1668" s="253">
        <f>SUM(J1669:J1674)</f>
        <v>0</v>
      </c>
      <c r="K1668" s="253">
        <f>SUM(K1669:K1674)</f>
        <v>221586</v>
      </c>
      <c r="L1668" s="80"/>
      <c r="M1668" s="82"/>
    </row>
    <row r="1669" spans="1:13" s="79" customFormat="1" ht="13.5" customHeight="1">
      <c r="A1669" s="407"/>
      <c r="C1669" s="151"/>
      <c r="D1669" s="446" t="s">
        <v>289</v>
      </c>
      <c r="E1669" s="446"/>
      <c r="F1669" s="446"/>
      <c r="G1669" s="446"/>
      <c r="H1669" s="446"/>
      <c r="I1669" s="29">
        <f>9900</f>
        <v>9900</v>
      </c>
      <c r="J1669" s="29"/>
      <c r="K1669" s="29">
        <f aca="true" t="shared" si="109" ref="K1669:K1674">SUM(I1669:J1669)</f>
        <v>9900</v>
      </c>
      <c r="L1669" s="80"/>
      <c r="M1669" s="82"/>
    </row>
    <row r="1670" spans="1:13" s="79" customFormat="1" ht="12.75" customHeight="1">
      <c r="A1670" s="407"/>
      <c r="C1670" s="151"/>
      <c r="D1670" s="444" t="s">
        <v>8</v>
      </c>
      <c r="E1670" s="448"/>
      <c r="F1670" s="448"/>
      <c r="G1670" s="448"/>
      <c r="H1670" s="448"/>
      <c r="I1670" s="29">
        <f>35516-14061</f>
        <v>21455</v>
      </c>
      <c r="J1670" s="29"/>
      <c r="K1670" s="29">
        <f t="shared" si="109"/>
        <v>21455</v>
      </c>
      <c r="L1670" s="80"/>
      <c r="M1670" s="82"/>
    </row>
    <row r="1671" spans="1:12" s="82" customFormat="1" ht="13.5" customHeight="1" hidden="1">
      <c r="A1671" s="407"/>
      <c r="C1671" s="149"/>
      <c r="D1671" s="444" t="s">
        <v>10</v>
      </c>
      <c r="E1671" s="444"/>
      <c r="F1671" s="444"/>
      <c r="G1671" s="444"/>
      <c r="H1671" s="444"/>
      <c r="I1671" s="29"/>
      <c r="J1671" s="80"/>
      <c r="K1671" s="29">
        <f t="shared" si="109"/>
        <v>0</v>
      </c>
      <c r="L1671" s="80"/>
    </row>
    <row r="1672" spans="1:12" s="82" customFormat="1" ht="13.5" customHeight="1" hidden="1">
      <c r="A1672" s="407"/>
      <c r="C1672" s="149"/>
      <c r="D1672" s="444" t="s">
        <v>9</v>
      </c>
      <c r="E1672" s="444"/>
      <c r="F1672" s="444"/>
      <c r="G1672" s="444"/>
      <c r="H1672" s="444"/>
      <c r="I1672" s="29"/>
      <c r="J1672" s="80"/>
      <c r="K1672" s="29">
        <f t="shared" si="109"/>
        <v>0</v>
      </c>
      <c r="L1672" s="80"/>
    </row>
    <row r="1673" spans="1:13" s="79" customFormat="1" ht="13.5" customHeight="1">
      <c r="A1673" s="407"/>
      <c r="C1673" s="151"/>
      <c r="D1673" s="444" t="s">
        <v>11</v>
      </c>
      <c r="E1673" s="444"/>
      <c r="F1673" s="444"/>
      <c r="G1673" s="444"/>
      <c r="H1673" s="444"/>
      <c r="I1673" s="29">
        <f>174670+15561</f>
        <v>190231</v>
      </c>
      <c r="J1673" s="29"/>
      <c r="K1673" s="29">
        <f t="shared" si="109"/>
        <v>190231</v>
      </c>
      <c r="L1673" s="80"/>
      <c r="M1673" s="82"/>
    </row>
    <row r="1674" spans="1:12" s="82" customFormat="1" ht="13.5" customHeight="1" hidden="1">
      <c r="A1674" s="407"/>
      <c r="C1674" s="149"/>
      <c r="D1674" s="444" t="s">
        <v>12</v>
      </c>
      <c r="E1674" s="444"/>
      <c r="F1674" s="444"/>
      <c r="G1674" s="444"/>
      <c r="H1674" s="444"/>
      <c r="I1674" s="29"/>
      <c r="J1674" s="80"/>
      <c r="K1674" s="29">
        <f t="shared" si="109"/>
        <v>0</v>
      </c>
      <c r="L1674" s="80"/>
    </row>
    <row r="1675" spans="1:12" s="82" customFormat="1" ht="13.5" customHeight="1">
      <c r="A1675" s="407"/>
      <c r="C1675" s="149"/>
      <c r="D1675" s="445" t="s">
        <v>277</v>
      </c>
      <c r="E1675" s="445"/>
      <c r="F1675" s="445"/>
      <c r="G1675" s="445"/>
      <c r="H1675" s="445"/>
      <c r="I1675" s="77">
        <f>I1664-I1668</f>
        <v>-107505</v>
      </c>
      <c r="J1675" s="77">
        <f>J1664-J1668</f>
        <v>0</v>
      </c>
      <c r="K1675" s="77">
        <f>K1664-K1668</f>
        <v>-107505</v>
      </c>
      <c r="L1675" s="80"/>
    </row>
    <row r="1676" spans="1:12" s="82" customFormat="1" ht="13.5" customHeight="1">
      <c r="A1676" s="407"/>
      <c r="C1676" s="149"/>
      <c r="D1676" s="444" t="s">
        <v>279</v>
      </c>
      <c r="E1676" s="444"/>
      <c r="F1676" s="444"/>
      <c r="G1676" s="444"/>
      <c r="H1676" s="444"/>
      <c r="I1676" s="29">
        <f>I1677+I1678+I1679</f>
        <v>107505</v>
      </c>
      <c r="J1676" s="29">
        <f>J1677+J1678+J1679</f>
        <v>0</v>
      </c>
      <c r="K1676" s="29">
        <f>K1677+K1678+K1679</f>
        <v>107505</v>
      </c>
      <c r="L1676" s="80"/>
    </row>
    <row r="1677" spans="1:12" s="82" customFormat="1" ht="13.5" customHeight="1">
      <c r="A1677" s="407"/>
      <c r="C1677" s="149"/>
      <c r="D1677" s="444" t="s">
        <v>278</v>
      </c>
      <c r="E1677" s="444"/>
      <c r="F1677" s="444"/>
      <c r="G1677" s="444"/>
      <c r="H1677" s="444"/>
      <c r="I1677" s="29">
        <v>24328</v>
      </c>
      <c r="J1677" s="77"/>
      <c r="K1677" s="80">
        <f>SUM(I1677:J1677)</f>
        <v>24328</v>
      </c>
      <c r="L1677" s="80"/>
    </row>
    <row r="1678" spans="1:12" s="82" customFormat="1" ht="13.5" customHeight="1">
      <c r="A1678" s="407"/>
      <c r="C1678" s="149"/>
      <c r="D1678" s="444" t="s">
        <v>280</v>
      </c>
      <c r="E1678" s="444"/>
      <c r="F1678" s="444"/>
      <c r="G1678" s="444"/>
      <c r="H1678" s="444"/>
      <c r="I1678" s="29">
        <v>83177</v>
      </c>
      <c r="J1678" s="29"/>
      <c r="K1678" s="80">
        <f>SUM(I1678:J1678)</f>
        <v>83177</v>
      </c>
      <c r="L1678" s="80"/>
    </row>
    <row r="1679" spans="1:12" s="82" customFormat="1" ht="13.5" customHeight="1" hidden="1">
      <c r="A1679" s="407"/>
      <c r="C1679" s="149"/>
      <c r="D1679" s="444" t="s">
        <v>281</v>
      </c>
      <c r="E1679" s="444"/>
      <c r="F1679" s="444"/>
      <c r="G1679" s="444"/>
      <c r="H1679" s="444"/>
      <c r="I1679" s="29"/>
      <c r="J1679" s="77"/>
      <c r="K1679" s="80">
        <f>SUM(I1679:J1679)</f>
        <v>0</v>
      </c>
      <c r="L1679" s="80"/>
    </row>
    <row r="1680" spans="1:12" s="82" customFormat="1" ht="6" customHeight="1">
      <c r="A1680" s="407"/>
      <c r="C1680" s="149"/>
      <c r="D1680" s="85"/>
      <c r="E1680" s="85"/>
      <c r="F1680" s="85"/>
      <c r="G1680" s="85"/>
      <c r="H1680" s="85"/>
      <c r="I1680" s="29"/>
      <c r="J1680" s="77"/>
      <c r="K1680" s="80"/>
      <c r="L1680" s="80"/>
    </row>
    <row r="1681" spans="1:12" s="82" customFormat="1" ht="13.5" customHeight="1">
      <c r="A1681" s="407"/>
      <c r="C1681" s="369" t="s">
        <v>108</v>
      </c>
      <c r="D1681" s="486" t="s">
        <v>530</v>
      </c>
      <c r="E1681" s="486"/>
      <c r="F1681" s="486"/>
      <c r="G1681" s="486"/>
      <c r="H1681" s="486"/>
      <c r="I1681" s="129"/>
      <c r="J1681" s="127"/>
      <c r="K1681" s="127"/>
      <c r="L1681" s="80"/>
    </row>
    <row r="1682" spans="1:12" s="82" customFormat="1" ht="13.5" customHeight="1">
      <c r="A1682" s="407"/>
      <c r="C1682" s="151"/>
      <c r="D1682" s="447" t="s">
        <v>37</v>
      </c>
      <c r="E1682" s="447"/>
      <c r="F1682" s="447"/>
      <c r="G1682" s="447"/>
      <c r="H1682" s="447"/>
      <c r="I1682" s="77">
        <f>SUM(I1683:I1685)</f>
        <v>18378</v>
      </c>
      <c r="J1682" s="77">
        <f>SUM(J1683:J1685)</f>
        <v>1651</v>
      </c>
      <c r="K1682" s="77">
        <f>SUM(K1683:K1685)</f>
        <v>20029</v>
      </c>
      <c r="L1682" s="80"/>
    </row>
    <row r="1683" spans="1:12" s="82" customFormat="1" ht="12.75" customHeight="1">
      <c r="A1683" s="407"/>
      <c r="C1683" s="151"/>
      <c r="D1683" s="446" t="s">
        <v>5</v>
      </c>
      <c r="E1683" s="446"/>
      <c r="F1683" s="446"/>
      <c r="G1683" s="446"/>
      <c r="H1683" s="446"/>
      <c r="I1683" s="29">
        <f>13308+5070</f>
        <v>18378</v>
      </c>
      <c r="J1683" s="29">
        <f>1539+112</f>
        <v>1651</v>
      </c>
      <c r="K1683" s="29">
        <f>SUM(I1683:J1683)</f>
        <v>20029</v>
      </c>
      <c r="L1683" s="80"/>
    </row>
    <row r="1684" spans="1:12" s="82" customFormat="1" ht="13.5" customHeight="1" hidden="1">
      <c r="A1684" s="407"/>
      <c r="C1684" s="151"/>
      <c r="D1684" s="446" t="s">
        <v>6</v>
      </c>
      <c r="E1684" s="446"/>
      <c r="F1684" s="446"/>
      <c r="G1684" s="446"/>
      <c r="H1684" s="446"/>
      <c r="I1684" s="29"/>
      <c r="J1684" s="29"/>
      <c r="K1684" s="29">
        <f>SUM(I1684:J1684)</f>
        <v>0</v>
      </c>
      <c r="L1684" s="80"/>
    </row>
    <row r="1685" spans="1:12" s="82" customFormat="1" ht="13.5" customHeight="1" hidden="1">
      <c r="A1685" s="407"/>
      <c r="C1685" s="151"/>
      <c r="D1685" s="446" t="s">
        <v>7</v>
      </c>
      <c r="E1685" s="446"/>
      <c r="F1685" s="446"/>
      <c r="G1685" s="446"/>
      <c r="H1685" s="446"/>
      <c r="I1685" s="29"/>
      <c r="J1685" s="29"/>
      <c r="K1685" s="29">
        <f>SUM(I1685:J1685)</f>
        <v>0</v>
      </c>
      <c r="L1685" s="80"/>
    </row>
    <row r="1686" spans="1:12" s="82" customFormat="1" ht="13.5" customHeight="1">
      <c r="A1686" s="407"/>
      <c r="C1686" s="151"/>
      <c r="D1686" s="447" t="s">
        <v>38</v>
      </c>
      <c r="E1686" s="447"/>
      <c r="F1686" s="447"/>
      <c r="G1686" s="447"/>
      <c r="H1686" s="447"/>
      <c r="I1686" s="253">
        <f>SUM(I1687:I1692)</f>
        <v>18378</v>
      </c>
      <c r="J1686" s="253">
        <f>SUM(J1687:J1692)</f>
        <v>1651</v>
      </c>
      <c r="K1686" s="253">
        <f>SUM(K1687:K1692)</f>
        <v>20029</v>
      </c>
      <c r="L1686" s="80"/>
    </row>
    <row r="1687" spans="1:12" s="82" customFormat="1" ht="12.75" customHeight="1">
      <c r="A1687" s="407"/>
      <c r="C1687" s="151"/>
      <c r="D1687" s="446" t="s">
        <v>289</v>
      </c>
      <c r="E1687" s="446"/>
      <c r="F1687" s="446"/>
      <c r="G1687" s="446"/>
      <c r="H1687" s="446"/>
      <c r="I1687" s="29">
        <f>11193</f>
        <v>11193</v>
      </c>
      <c r="J1687" s="29">
        <v>112</v>
      </c>
      <c r="K1687" s="29">
        <f aca="true" t="shared" si="110" ref="K1687:K1692">SUM(I1687:J1687)</f>
        <v>11305</v>
      </c>
      <c r="L1687" s="80"/>
    </row>
    <row r="1688" spans="1:12" s="82" customFormat="1" ht="12.75" customHeight="1">
      <c r="A1688" s="407"/>
      <c r="C1688" s="151"/>
      <c r="D1688" s="444" t="s">
        <v>8</v>
      </c>
      <c r="E1688" s="448"/>
      <c r="F1688" s="448"/>
      <c r="G1688" s="448"/>
      <c r="H1688" s="448"/>
      <c r="I1688" s="29">
        <f>2115+5070</f>
        <v>7185</v>
      </c>
      <c r="J1688" s="29"/>
      <c r="K1688" s="29">
        <f t="shared" si="110"/>
        <v>7185</v>
      </c>
      <c r="L1688" s="80"/>
    </row>
    <row r="1689" spans="1:12" s="82" customFormat="1" ht="0.75" customHeight="1">
      <c r="A1689" s="407"/>
      <c r="C1689" s="149"/>
      <c r="D1689" s="444" t="s">
        <v>10</v>
      </c>
      <c r="E1689" s="444"/>
      <c r="F1689" s="444"/>
      <c r="G1689" s="444"/>
      <c r="H1689" s="444"/>
      <c r="I1689" s="29"/>
      <c r="J1689" s="80"/>
      <c r="K1689" s="29">
        <f t="shared" si="110"/>
        <v>0</v>
      </c>
      <c r="L1689" s="80"/>
    </row>
    <row r="1690" spans="1:12" s="82" customFormat="1" ht="12.75" customHeight="1" hidden="1">
      <c r="A1690" s="407"/>
      <c r="C1690" s="149"/>
      <c r="D1690" s="444" t="s">
        <v>9</v>
      </c>
      <c r="E1690" s="444"/>
      <c r="F1690" s="444"/>
      <c r="G1690" s="444"/>
      <c r="H1690" s="444"/>
      <c r="I1690" s="29"/>
      <c r="J1690" s="80"/>
      <c r="K1690" s="29">
        <f t="shared" si="110"/>
        <v>0</v>
      </c>
      <c r="L1690" s="80"/>
    </row>
    <row r="1691" spans="1:12" s="82" customFormat="1" ht="12" customHeight="1">
      <c r="A1691" s="407"/>
      <c r="C1691" s="151"/>
      <c r="D1691" s="444" t="s">
        <v>11</v>
      </c>
      <c r="E1691" s="444"/>
      <c r="F1691" s="444"/>
      <c r="G1691" s="444"/>
      <c r="H1691" s="444"/>
      <c r="I1691" s="29"/>
      <c r="J1691" s="29">
        <f>1539</f>
        <v>1539</v>
      </c>
      <c r="K1691" s="29">
        <f t="shared" si="110"/>
        <v>1539</v>
      </c>
      <c r="L1691" s="80"/>
    </row>
    <row r="1692" spans="1:12" s="82" customFormat="1" ht="12.75" customHeight="1" hidden="1">
      <c r="A1692" s="407"/>
      <c r="C1692" s="149"/>
      <c r="D1692" s="444" t="s">
        <v>12</v>
      </c>
      <c r="E1692" s="444"/>
      <c r="F1692" s="444"/>
      <c r="G1692" s="444"/>
      <c r="H1692" s="444"/>
      <c r="I1692" s="29"/>
      <c r="J1692" s="80"/>
      <c r="K1692" s="29">
        <f t="shared" si="110"/>
        <v>0</v>
      </c>
      <c r="L1692" s="80"/>
    </row>
    <row r="1693" spans="1:12" s="82" customFormat="1" ht="12.75" customHeight="1">
      <c r="A1693" s="407"/>
      <c r="C1693" s="149"/>
      <c r="D1693" s="445" t="s">
        <v>277</v>
      </c>
      <c r="E1693" s="445"/>
      <c r="F1693" s="445"/>
      <c r="G1693" s="445"/>
      <c r="H1693" s="445"/>
      <c r="I1693" s="77">
        <f>I1682-I1686</f>
        <v>0</v>
      </c>
      <c r="J1693" s="77">
        <f>J1682-J1686</f>
        <v>0</v>
      </c>
      <c r="K1693" s="77">
        <f>K1682-K1686</f>
        <v>0</v>
      </c>
      <c r="L1693" s="80"/>
    </row>
    <row r="1694" spans="1:12" s="82" customFormat="1" ht="12" customHeight="1">
      <c r="A1694" s="407"/>
      <c r="C1694" s="149"/>
      <c r="D1694" s="444" t="s">
        <v>279</v>
      </c>
      <c r="E1694" s="444"/>
      <c r="F1694" s="444"/>
      <c r="G1694" s="444"/>
      <c r="H1694" s="444"/>
      <c r="I1694" s="29">
        <f>I1695+I1696+I1697</f>
        <v>0</v>
      </c>
      <c r="J1694" s="29">
        <f>J1695+J1696+J1697</f>
        <v>0</v>
      </c>
      <c r="K1694" s="29">
        <f>K1695+K1696+K1697</f>
        <v>0</v>
      </c>
      <c r="L1694" s="80"/>
    </row>
    <row r="1695" spans="1:12" s="82" customFormat="1" ht="13.5" customHeight="1" hidden="1">
      <c r="A1695" s="407"/>
      <c r="C1695" s="149"/>
      <c r="D1695" s="444" t="s">
        <v>278</v>
      </c>
      <c r="E1695" s="444"/>
      <c r="F1695" s="444"/>
      <c r="G1695" s="444"/>
      <c r="H1695" s="444"/>
      <c r="I1695" s="29"/>
      <c r="J1695" s="77"/>
      <c r="K1695" s="80">
        <f>SUM(I1695:J1695)</f>
        <v>0</v>
      </c>
      <c r="L1695" s="80"/>
    </row>
    <row r="1696" spans="1:12" s="82" customFormat="1" ht="13.5" customHeight="1" hidden="1">
      <c r="A1696" s="407"/>
      <c r="C1696" s="149"/>
      <c r="D1696" s="444" t="s">
        <v>280</v>
      </c>
      <c r="E1696" s="444"/>
      <c r="F1696" s="444"/>
      <c r="G1696" s="444"/>
      <c r="H1696" s="444"/>
      <c r="I1696" s="29"/>
      <c r="J1696" s="29"/>
      <c r="K1696" s="80">
        <f>SUM(I1696:J1696)</f>
        <v>0</v>
      </c>
      <c r="L1696" s="80"/>
    </row>
    <row r="1697" spans="1:12" s="82" customFormat="1" ht="1.5" customHeight="1" hidden="1">
      <c r="A1697" s="407"/>
      <c r="C1697" s="149"/>
      <c r="D1697" s="85"/>
      <c r="E1697" s="85"/>
      <c r="F1697" s="85"/>
      <c r="G1697" s="85"/>
      <c r="H1697" s="85"/>
      <c r="I1697" s="29"/>
      <c r="J1697" s="77"/>
      <c r="K1697" s="80"/>
      <c r="L1697" s="80"/>
    </row>
    <row r="1698" spans="1:12" s="82" customFormat="1" ht="9" customHeight="1">
      <c r="A1698" s="407"/>
      <c r="C1698" s="149"/>
      <c r="D1698" s="85"/>
      <c r="E1698" s="85"/>
      <c r="F1698" s="85"/>
      <c r="G1698" s="85"/>
      <c r="H1698" s="85"/>
      <c r="I1698" s="29"/>
      <c r="J1698" s="80"/>
      <c r="K1698" s="29"/>
      <c r="L1698" s="80"/>
    </row>
    <row r="1699" spans="1:12" s="33" customFormat="1" ht="1.5" customHeight="1" hidden="1">
      <c r="A1699" s="410"/>
      <c r="C1699" s="152"/>
      <c r="D1699" s="34"/>
      <c r="E1699" s="440"/>
      <c r="F1699" s="440"/>
      <c r="G1699" s="440"/>
      <c r="H1699" s="440"/>
      <c r="I1699" s="29"/>
      <c r="J1699" s="80"/>
      <c r="K1699" s="80"/>
      <c r="L1699" s="175"/>
    </row>
    <row r="1700" spans="1:13" s="15" customFormat="1" ht="13.5" customHeight="1">
      <c r="A1700" s="407"/>
      <c r="C1700" s="142" t="s">
        <v>108</v>
      </c>
      <c r="D1700" s="450" t="s">
        <v>73</v>
      </c>
      <c r="E1700" s="450"/>
      <c r="F1700" s="450"/>
      <c r="G1700" s="450"/>
      <c r="H1700" s="450"/>
      <c r="I1700" s="17"/>
      <c r="J1700" s="126"/>
      <c r="K1700" s="126"/>
      <c r="L1700" s="127"/>
      <c r="M1700" s="95"/>
    </row>
    <row r="1701" spans="1:13" s="15" customFormat="1" ht="13.5" customHeight="1">
      <c r="A1701" s="407"/>
      <c r="C1701" s="154"/>
      <c r="D1701" s="447" t="s">
        <v>37</v>
      </c>
      <c r="E1701" s="447"/>
      <c r="F1701" s="447"/>
      <c r="G1701" s="447"/>
      <c r="H1701" s="447"/>
      <c r="I1701" s="77">
        <f>SUM(I1702:I1704)</f>
        <v>145805</v>
      </c>
      <c r="J1701" s="77">
        <f>SUM(J1702:J1704)</f>
        <v>5316</v>
      </c>
      <c r="K1701" s="77">
        <f>SUM(K1702:K1704)</f>
        <v>151121</v>
      </c>
      <c r="L1701" s="127"/>
      <c r="M1701" s="95"/>
    </row>
    <row r="1702" spans="1:13" s="15" customFormat="1" ht="13.5" customHeight="1">
      <c r="A1702" s="407"/>
      <c r="C1702" s="154"/>
      <c r="D1702" s="446" t="s">
        <v>5</v>
      </c>
      <c r="E1702" s="446"/>
      <c r="F1702" s="446"/>
      <c r="G1702" s="446"/>
      <c r="H1702" s="446"/>
      <c r="I1702" s="29">
        <f aca="true" t="shared" si="111" ref="I1702:K1704">I1721+I1739</f>
        <v>66357</v>
      </c>
      <c r="J1702" s="29">
        <f t="shared" si="111"/>
        <v>5316</v>
      </c>
      <c r="K1702" s="29">
        <f t="shared" si="111"/>
        <v>71673</v>
      </c>
      <c r="L1702" s="127"/>
      <c r="M1702" s="95"/>
    </row>
    <row r="1703" spans="1:13" s="15" customFormat="1" ht="12.75" customHeight="1">
      <c r="A1703" s="407"/>
      <c r="C1703" s="154"/>
      <c r="D1703" s="446" t="s">
        <v>6</v>
      </c>
      <c r="E1703" s="446"/>
      <c r="F1703" s="446"/>
      <c r="G1703" s="446"/>
      <c r="H1703" s="446"/>
      <c r="I1703" s="29">
        <f t="shared" si="111"/>
        <v>79448</v>
      </c>
      <c r="J1703" s="29">
        <f t="shared" si="111"/>
        <v>0</v>
      </c>
      <c r="K1703" s="29">
        <f t="shared" si="111"/>
        <v>79448</v>
      </c>
      <c r="L1703" s="127"/>
      <c r="M1703" s="95"/>
    </row>
    <row r="1704" spans="1:13" s="15" customFormat="1" ht="13.5" customHeight="1" hidden="1">
      <c r="A1704" s="407"/>
      <c r="C1704" s="154"/>
      <c r="D1704" s="446" t="s">
        <v>7</v>
      </c>
      <c r="E1704" s="446"/>
      <c r="F1704" s="446"/>
      <c r="G1704" s="446"/>
      <c r="H1704" s="446"/>
      <c r="I1704" s="29">
        <f t="shared" si="111"/>
        <v>0</v>
      </c>
      <c r="J1704" s="29">
        <f t="shared" si="111"/>
        <v>0</v>
      </c>
      <c r="K1704" s="29">
        <f t="shared" si="111"/>
        <v>0</v>
      </c>
      <c r="L1704" s="127"/>
      <c r="M1704" s="95"/>
    </row>
    <row r="1705" spans="1:13" s="15" customFormat="1" ht="13.5" customHeight="1">
      <c r="A1705" s="407"/>
      <c r="C1705" s="154"/>
      <c r="D1705" s="447" t="s">
        <v>38</v>
      </c>
      <c r="E1705" s="447"/>
      <c r="F1705" s="447"/>
      <c r="G1705" s="447"/>
      <c r="H1705" s="447"/>
      <c r="I1705" s="253">
        <f>SUM(I1706:I1712)</f>
        <v>267682</v>
      </c>
      <c r="J1705" s="253">
        <f>SUM(J1706:J1712)</f>
        <v>5316</v>
      </c>
      <c r="K1705" s="253">
        <f>SUM(K1706:K1712)</f>
        <v>272998</v>
      </c>
      <c r="L1705" s="127"/>
      <c r="M1705" s="95"/>
    </row>
    <row r="1706" spans="1:13" s="15" customFormat="1" ht="13.5" customHeight="1">
      <c r="A1706" s="407"/>
      <c r="C1706" s="154"/>
      <c r="D1706" s="446" t="s">
        <v>289</v>
      </c>
      <c r="E1706" s="446"/>
      <c r="F1706" s="446"/>
      <c r="G1706" s="446"/>
      <c r="H1706" s="446"/>
      <c r="I1706" s="29">
        <f aca="true" t="shared" si="112" ref="I1706:K1712">I1725+I1743</f>
        <v>95955</v>
      </c>
      <c r="J1706" s="29">
        <f t="shared" si="112"/>
        <v>3955</v>
      </c>
      <c r="K1706" s="29">
        <f t="shared" si="112"/>
        <v>99910</v>
      </c>
      <c r="L1706" s="127"/>
      <c r="M1706" s="95"/>
    </row>
    <row r="1707" spans="1:13" s="15" customFormat="1" ht="12" customHeight="1">
      <c r="A1707" s="407"/>
      <c r="C1707" s="154"/>
      <c r="D1707" s="444" t="s">
        <v>8</v>
      </c>
      <c r="E1707" s="448"/>
      <c r="F1707" s="448"/>
      <c r="G1707" s="448"/>
      <c r="H1707" s="448"/>
      <c r="I1707" s="29">
        <f t="shared" si="112"/>
        <v>35066</v>
      </c>
      <c r="J1707" s="29">
        <f t="shared" si="112"/>
        <v>1361</v>
      </c>
      <c r="K1707" s="29">
        <f t="shared" si="112"/>
        <v>36427</v>
      </c>
      <c r="L1707" s="127"/>
      <c r="M1707" s="95"/>
    </row>
    <row r="1708" spans="1:13" s="79" customFormat="1" ht="13.5" customHeight="1" hidden="1">
      <c r="A1708" s="407"/>
      <c r="C1708" s="151"/>
      <c r="D1708" s="444" t="s">
        <v>10</v>
      </c>
      <c r="E1708" s="444"/>
      <c r="F1708" s="444"/>
      <c r="G1708" s="444"/>
      <c r="H1708" s="444"/>
      <c r="I1708" s="29">
        <f t="shared" si="112"/>
        <v>0</v>
      </c>
      <c r="J1708" s="29">
        <f t="shared" si="112"/>
        <v>0</v>
      </c>
      <c r="K1708" s="29">
        <f t="shared" si="112"/>
        <v>0</v>
      </c>
      <c r="L1708" s="80"/>
      <c r="M1708" s="82"/>
    </row>
    <row r="1709" spans="1:13" s="79" customFormat="1" ht="13.5" customHeight="1" hidden="1">
      <c r="A1709" s="407"/>
      <c r="C1709" s="151"/>
      <c r="D1709" s="444" t="s">
        <v>9</v>
      </c>
      <c r="E1709" s="444"/>
      <c r="F1709" s="444"/>
      <c r="G1709" s="444"/>
      <c r="H1709" s="444"/>
      <c r="I1709" s="29">
        <f t="shared" si="112"/>
        <v>0</v>
      </c>
      <c r="J1709" s="29">
        <f t="shared" si="112"/>
        <v>0</v>
      </c>
      <c r="K1709" s="29">
        <f t="shared" si="112"/>
        <v>0</v>
      </c>
      <c r="L1709" s="80"/>
      <c r="M1709" s="82"/>
    </row>
    <row r="1710" spans="1:12" s="82" customFormat="1" ht="13.5" customHeight="1">
      <c r="A1710" s="407"/>
      <c r="C1710" s="149"/>
      <c r="D1710" s="444" t="s">
        <v>11</v>
      </c>
      <c r="E1710" s="444"/>
      <c r="F1710" s="444"/>
      <c r="G1710" s="444"/>
      <c r="H1710" s="444"/>
      <c r="I1710" s="29">
        <f>I1729+I1747</f>
        <v>14892</v>
      </c>
      <c r="J1710" s="29">
        <f t="shared" si="112"/>
        <v>0</v>
      </c>
      <c r="K1710" s="29">
        <f t="shared" si="112"/>
        <v>14892</v>
      </c>
      <c r="L1710" s="80"/>
    </row>
    <row r="1711" spans="1:12" s="82" customFormat="1" ht="13.5" customHeight="1" hidden="1">
      <c r="A1711" s="407"/>
      <c r="C1711" s="149"/>
      <c r="D1711" s="444" t="s">
        <v>12</v>
      </c>
      <c r="E1711" s="444"/>
      <c r="F1711" s="444"/>
      <c r="G1711" s="444"/>
      <c r="H1711" s="444"/>
      <c r="I1711" s="29">
        <f t="shared" si="112"/>
        <v>0</v>
      </c>
      <c r="J1711" s="29">
        <f t="shared" si="112"/>
        <v>0</v>
      </c>
      <c r="K1711" s="29">
        <f t="shared" si="112"/>
        <v>0</v>
      </c>
      <c r="L1711" s="80"/>
    </row>
    <row r="1712" spans="1:12" s="82" customFormat="1" ht="13.5" customHeight="1">
      <c r="A1712" s="407"/>
      <c r="C1712" s="149"/>
      <c r="D1712" s="444" t="s">
        <v>236</v>
      </c>
      <c r="E1712" s="444"/>
      <c r="F1712" s="444"/>
      <c r="G1712" s="444"/>
      <c r="H1712" s="444"/>
      <c r="I1712" s="29">
        <f t="shared" si="112"/>
        <v>121769</v>
      </c>
      <c r="J1712" s="29">
        <f t="shared" si="112"/>
        <v>0</v>
      </c>
      <c r="K1712" s="29">
        <f t="shared" si="112"/>
        <v>121769</v>
      </c>
      <c r="L1712" s="80"/>
    </row>
    <row r="1713" spans="1:12" s="82" customFormat="1" ht="13.5" customHeight="1">
      <c r="A1713" s="407"/>
      <c r="C1713" s="149"/>
      <c r="D1713" s="445" t="s">
        <v>277</v>
      </c>
      <c r="E1713" s="445"/>
      <c r="F1713" s="445"/>
      <c r="G1713" s="445"/>
      <c r="H1713" s="445"/>
      <c r="I1713" s="77">
        <f>I1701-I1705</f>
        <v>-121877</v>
      </c>
      <c r="J1713" s="77">
        <f>J1701-J1705</f>
        <v>0</v>
      </c>
      <c r="K1713" s="77">
        <f>K1701-K1705</f>
        <v>-121877</v>
      </c>
      <c r="L1713" s="80"/>
    </row>
    <row r="1714" spans="1:12" s="82" customFormat="1" ht="13.5" customHeight="1">
      <c r="A1714" s="407"/>
      <c r="C1714" s="149"/>
      <c r="D1714" s="444" t="s">
        <v>279</v>
      </c>
      <c r="E1714" s="444"/>
      <c r="F1714" s="444"/>
      <c r="G1714" s="444"/>
      <c r="H1714" s="444"/>
      <c r="I1714" s="29">
        <f>I1715+I1716+I1717</f>
        <v>121877</v>
      </c>
      <c r="J1714" s="29">
        <f>J1715+J1716+J1717</f>
        <v>0</v>
      </c>
      <c r="K1714" s="29">
        <f>K1715+K1716+K1717</f>
        <v>121877</v>
      </c>
      <c r="L1714" s="80"/>
    </row>
    <row r="1715" spans="1:12" s="82" customFormat="1" ht="12.75" customHeight="1">
      <c r="A1715" s="407"/>
      <c r="C1715" s="149"/>
      <c r="D1715" s="444" t="s">
        <v>278</v>
      </c>
      <c r="E1715" s="444"/>
      <c r="F1715" s="444"/>
      <c r="G1715" s="444"/>
      <c r="H1715" s="444"/>
      <c r="I1715" s="29">
        <f aca="true" t="shared" si="113" ref="I1715:K1717">I1733+I1752</f>
        <v>121877</v>
      </c>
      <c r="J1715" s="29">
        <f t="shared" si="113"/>
        <v>0</v>
      </c>
      <c r="K1715" s="29">
        <f t="shared" si="113"/>
        <v>121877</v>
      </c>
      <c r="L1715" s="80"/>
    </row>
    <row r="1716" spans="1:12" s="82" customFormat="1" ht="13.5" customHeight="1" hidden="1">
      <c r="A1716" s="407"/>
      <c r="C1716" s="149"/>
      <c r="D1716" s="444" t="s">
        <v>280</v>
      </c>
      <c r="E1716" s="444"/>
      <c r="F1716" s="444"/>
      <c r="G1716" s="444"/>
      <c r="H1716" s="444"/>
      <c r="I1716" s="29">
        <f t="shared" si="113"/>
        <v>0</v>
      </c>
      <c r="J1716" s="29">
        <f t="shared" si="113"/>
        <v>0</v>
      </c>
      <c r="K1716" s="29">
        <f t="shared" si="113"/>
        <v>0</v>
      </c>
      <c r="L1716" s="80"/>
    </row>
    <row r="1717" spans="1:12" s="82" customFormat="1" ht="13.5" customHeight="1" hidden="1">
      <c r="A1717" s="407"/>
      <c r="C1717" s="149"/>
      <c r="D1717" s="444" t="s">
        <v>281</v>
      </c>
      <c r="E1717" s="444"/>
      <c r="F1717" s="444"/>
      <c r="G1717" s="444"/>
      <c r="H1717" s="444"/>
      <c r="I1717" s="29">
        <f t="shared" si="113"/>
        <v>0</v>
      </c>
      <c r="J1717" s="29">
        <f t="shared" si="113"/>
        <v>0</v>
      </c>
      <c r="K1717" s="29">
        <f t="shared" si="113"/>
        <v>0</v>
      </c>
      <c r="L1717" s="80"/>
    </row>
    <row r="1718" spans="1:12" s="82" customFormat="1" ht="6" customHeight="1">
      <c r="A1718" s="407"/>
      <c r="C1718" s="149"/>
      <c r="D1718" s="85"/>
      <c r="E1718" s="85"/>
      <c r="F1718" s="85"/>
      <c r="G1718" s="85"/>
      <c r="H1718" s="85"/>
      <c r="I1718" s="29"/>
      <c r="J1718" s="80"/>
      <c r="K1718" s="29"/>
      <c r="L1718" s="80"/>
    </row>
    <row r="1719" spans="1:12" s="95" customFormat="1" ht="13.5" customHeight="1">
      <c r="A1719" s="407"/>
      <c r="C1719" s="153" t="s">
        <v>108</v>
      </c>
      <c r="D1719" s="449" t="s">
        <v>73</v>
      </c>
      <c r="E1719" s="449"/>
      <c r="F1719" s="449"/>
      <c r="G1719" s="449"/>
      <c r="H1719" s="449"/>
      <c r="I1719" s="129"/>
      <c r="J1719" s="127"/>
      <c r="K1719" s="129"/>
      <c r="L1719" s="127"/>
    </row>
    <row r="1720" spans="1:12" s="82" customFormat="1" ht="13.5" customHeight="1">
      <c r="A1720" s="407"/>
      <c r="C1720" s="149"/>
      <c r="D1720" s="447" t="s">
        <v>37</v>
      </c>
      <c r="E1720" s="447"/>
      <c r="F1720" s="447"/>
      <c r="G1720" s="447"/>
      <c r="H1720" s="447"/>
      <c r="I1720" s="77">
        <f>SUM(I1721:I1723)</f>
        <v>51423</v>
      </c>
      <c r="J1720" s="77">
        <f>SUM(J1721:J1723)</f>
        <v>5316</v>
      </c>
      <c r="K1720" s="77">
        <f>SUM(K1721:K1723)</f>
        <v>56739</v>
      </c>
      <c r="L1720" s="80"/>
    </row>
    <row r="1721" spans="1:12" s="82" customFormat="1" ht="13.5" customHeight="1">
      <c r="A1721" s="407"/>
      <c r="C1721" s="149"/>
      <c r="D1721" s="446" t="s">
        <v>5</v>
      </c>
      <c r="E1721" s="446"/>
      <c r="F1721" s="446"/>
      <c r="G1721" s="446"/>
      <c r="H1721" s="446"/>
      <c r="I1721" s="29">
        <v>46000</v>
      </c>
      <c r="J1721" s="80">
        <f>5316</f>
        <v>5316</v>
      </c>
      <c r="K1721" s="29">
        <f>SUM(I1721:J1721)</f>
        <v>51316</v>
      </c>
      <c r="L1721" s="80"/>
    </row>
    <row r="1722" spans="1:12" s="82" customFormat="1" ht="13.5" customHeight="1">
      <c r="A1722" s="407"/>
      <c r="C1722" s="149"/>
      <c r="D1722" s="446" t="s">
        <v>6</v>
      </c>
      <c r="E1722" s="446"/>
      <c r="F1722" s="446"/>
      <c r="G1722" s="446"/>
      <c r="H1722" s="446"/>
      <c r="I1722" s="29">
        <v>5423</v>
      </c>
      <c r="J1722" s="80"/>
      <c r="K1722" s="29">
        <f>SUM(I1722:J1722)</f>
        <v>5423</v>
      </c>
      <c r="L1722" s="80"/>
    </row>
    <row r="1723" spans="1:12" s="82" customFormat="1" ht="13.5" customHeight="1" hidden="1">
      <c r="A1723" s="407"/>
      <c r="C1723" s="149"/>
      <c r="D1723" s="446" t="s">
        <v>7</v>
      </c>
      <c r="E1723" s="446"/>
      <c r="F1723" s="446"/>
      <c r="G1723" s="446"/>
      <c r="H1723" s="446"/>
      <c r="I1723" s="29"/>
      <c r="J1723" s="80"/>
      <c r="K1723" s="29">
        <f>SUM(I1723:J1723)</f>
        <v>0</v>
      </c>
      <c r="L1723" s="80"/>
    </row>
    <row r="1724" spans="1:12" s="82" customFormat="1" ht="13.5" customHeight="1">
      <c r="A1724" s="407"/>
      <c r="C1724" s="149"/>
      <c r="D1724" s="447" t="s">
        <v>38</v>
      </c>
      <c r="E1724" s="447"/>
      <c r="F1724" s="447"/>
      <c r="G1724" s="447"/>
      <c r="H1724" s="447"/>
      <c r="I1724" s="77">
        <f>SUM(I1725:I1730)</f>
        <v>51423</v>
      </c>
      <c r="J1724" s="77">
        <f>SUM(J1725:J1730)</f>
        <v>5316</v>
      </c>
      <c r="K1724" s="77">
        <f>SUM(K1725:K1730)</f>
        <v>56739</v>
      </c>
      <c r="L1724" s="80"/>
    </row>
    <row r="1725" spans="1:12" s="82" customFormat="1" ht="13.5" customHeight="1">
      <c r="A1725" s="407"/>
      <c r="C1725" s="149"/>
      <c r="D1725" s="446" t="s">
        <v>289</v>
      </c>
      <c r="E1725" s="446"/>
      <c r="F1725" s="446"/>
      <c r="G1725" s="446"/>
      <c r="H1725" s="446"/>
      <c r="I1725" s="29">
        <f>29438+1489</f>
        <v>30927</v>
      </c>
      <c r="J1725" s="80">
        <f>3427+528</f>
        <v>3955</v>
      </c>
      <c r="K1725" s="29">
        <f aca="true" t="shared" si="114" ref="K1725:K1730">SUM(I1725:J1725)</f>
        <v>34882</v>
      </c>
      <c r="L1725" s="80"/>
    </row>
    <row r="1726" spans="1:12" s="82" customFormat="1" ht="12.75" customHeight="1">
      <c r="A1726" s="407"/>
      <c r="C1726" s="149"/>
      <c r="D1726" s="444" t="s">
        <v>8</v>
      </c>
      <c r="E1726" s="448"/>
      <c r="F1726" s="448"/>
      <c r="G1726" s="448"/>
      <c r="H1726" s="448"/>
      <c r="I1726" s="29">
        <f>16562+3934</f>
        <v>20496</v>
      </c>
      <c r="J1726" s="80">
        <v>1361</v>
      </c>
      <c r="K1726" s="29">
        <f t="shared" si="114"/>
        <v>21857</v>
      </c>
      <c r="L1726" s="80"/>
    </row>
    <row r="1727" spans="1:12" s="82" customFormat="1" ht="13.5" customHeight="1" hidden="1">
      <c r="A1727" s="407"/>
      <c r="C1727" s="149"/>
      <c r="D1727" s="444" t="s">
        <v>10</v>
      </c>
      <c r="E1727" s="444"/>
      <c r="F1727" s="444"/>
      <c r="G1727" s="444"/>
      <c r="H1727" s="444"/>
      <c r="I1727" s="29"/>
      <c r="J1727" s="80"/>
      <c r="K1727" s="29">
        <f t="shared" si="114"/>
        <v>0</v>
      </c>
      <c r="L1727" s="80"/>
    </row>
    <row r="1728" spans="1:12" s="82" customFormat="1" ht="13.5" customHeight="1" hidden="1">
      <c r="A1728" s="407"/>
      <c r="C1728" s="151"/>
      <c r="D1728" s="444" t="s">
        <v>9</v>
      </c>
      <c r="E1728" s="444"/>
      <c r="F1728" s="444"/>
      <c r="G1728" s="444"/>
      <c r="H1728" s="444"/>
      <c r="I1728" s="29"/>
      <c r="J1728" s="80"/>
      <c r="K1728" s="29">
        <f t="shared" si="114"/>
        <v>0</v>
      </c>
      <c r="L1728" s="80"/>
    </row>
    <row r="1729" spans="1:12" s="82" customFormat="1" ht="13.5" customHeight="1" hidden="1">
      <c r="A1729" s="407"/>
      <c r="C1729" s="149"/>
      <c r="D1729" s="444" t="s">
        <v>11</v>
      </c>
      <c r="E1729" s="444"/>
      <c r="F1729" s="444"/>
      <c r="G1729" s="444"/>
      <c r="H1729" s="444"/>
      <c r="I1729" s="29"/>
      <c r="J1729" s="80"/>
      <c r="K1729" s="29">
        <f t="shared" si="114"/>
        <v>0</v>
      </c>
      <c r="L1729" s="80"/>
    </row>
    <row r="1730" spans="1:12" s="82" customFormat="1" ht="13.5" customHeight="1" hidden="1">
      <c r="A1730" s="407"/>
      <c r="C1730" s="149"/>
      <c r="D1730" s="444" t="s">
        <v>12</v>
      </c>
      <c r="E1730" s="444"/>
      <c r="F1730" s="444"/>
      <c r="G1730" s="444"/>
      <c r="H1730" s="444"/>
      <c r="I1730" s="29"/>
      <c r="J1730" s="80"/>
      <c r="K1730" s="29">
        <f t="shared" si="114"/>
        <v>0</v>
      </c>
      <c r="L1730" s="80"/>
    </row>
    <row r="1731" spans="1:12" s="82" customFormat="1" ht="13.5" customHeight="1">
      <c r="A1731" s="407"/>
      <c r="C1731" s="149"/>
      <c r="D1731" s="445" t="s">
        <v>277</v>
      </c>
      <c r="E1731" s="445"/>
      <c r="F1731" s="445"/>
      <c r="G1731" s="445"/>
      <c r="H1731" s="445"/>
      <c r="I1731" s="77">
        <f>I1720-I1724</f>
        <v>0</v>
      </c>
      <c r="J1731" s="77">
        <f>J1720-J1724</f>
        <v>0</v>
      </c>
      <c r="K1731" s="77">
        <f>K1720-K1724</f>
        <v>0</v>
      </c>
      <c r="L1731" s="80"/>
    </row>
    <row r="1732" spans="1:12" s="82" customFormat="1" ht="12.75" customHeight="1">
      <c r="A1732" s="407"/>
      <c r="C1732" s="149"/>
      <c r="D1732" s="444" t="s">
        <v>279</v>
      </c>
      <c r="E1732" s="444"/>
      <c r="F1732" s="444"/>
      <c r="G1732" s="444"/>
      <c r="H1732" s="444"/>
      <c r="I1732" s="29">
        <f>I1733+I1734+I1735</f>
        <v>0</v>
      </c>
      <c r="J1732" s="29">
        <f>J1733+J1734+J1735</f>
        <v>0</v>
      </c>
      <c r="K1732" s="29">
        <f>K1733+K1734+K1735</f>
        <v>0</v>
      </c>
      <c r="L1732" s="80"/>
    </row>
    <row r="1733" spans="1:12" s="82" customFormat="1" ht="13.5" customHeight="1" hidden="1">
      <c r="A1733" s="407"/>
      <c r="C1733" s="149"/>
      <c r="D1733" s="444" t="s">
        <v>278</v>
      </c>
      <c r="E1733" s="444"/>
      <c r="F1733" s="444"/>
      <c r="G1733" s="444"/>
      <c r="H1733" s="444"/>
      <c r="I1733" s="29"/>
      <c r="J1733" s="77"/>
      <c r="K1733" s="80">
        <f>SUM(I1733:J1733)</f>
        <v>0</v>
      </c>
      <c r="L1733" s="80"/>
    </row>
    <row r="1734" spans="1:12" s="82" customFormat="1" ht="13.5" customHeight="1" hidden="1">
      <c r="A1734" s="407"/>
      <c r="C1734" s="149"/>
      <c r="D1734" s="444" t="s">
        <v>280</v>
      </c>
      <c r="E1734" s="444"/>
      <c r="F1734" s="444"/>
      <c r="G1734" s="444"/>
      <c r="H1734" s="444"/>
      <c r="I1734" s="29"/>
      <c r="J1734" s="77"/>
      <c r="K1734" s="80">
        <f>SUM(I1734:J1734)</f>
        <v>0</v>
      </c>
      <c r="L1734" s="80"/>
    </row>
    <row r="1735" spans="1:12" s="82" customFormat="1" ht="13.5" customHeight="1" hidden="1">
      <c r="A1735" s="407"/>
      <c r="C1735" s="149"/>
      <c r="D1735" s="444" t="s">
        <v>281</v>
      </c>
      <c r="E1735" s="444"/>
      <c r="F1735" s="444"/>
      <c r="G1735" s="444"/>
      <c r="H1735" s="444"/>
      <c r="I1735" s="29"/>
      <c r="J1735" s="77"/>
      <c r="K1735" s="80">
        <f>SUM(I1735:J1735)</f>
        <v>0</v>
      </c>
      <c r="L1735" s="80"/>
    </row>
    <row r="1736" spans="1:12" s="82" customFormat="1" ht="8.25" customHeight="1">
      <c r="A1736" s="407"/>
      <c r="C1736" s="149"/>
      <c r="D1736" s="85"/>
      <c r="E1736" s="85"/>
      <c r="F1736" s="85"/>
      <c r="G1736" s="85"/>
      <c r="H1736" s="85"/>
      <c r="I1736" s="29"/>
      <c r="J1736" s="80"/>
      <c r="K1736" s="29"/>
      <c r="L1736" s="80"/>
    </row>
    <row r="1737" spans="1:12" s="95" customFormat="1" ht="13.5" customHeight="1">
      <c r="A1737" s="407"/>
      <c r="C1737" s="153" t="s">
        <v>108</v>
      </c>
      <c r="D1737" s="449" t="s">
        <v>522</v>
      </c>
      <c r="E1737" s="449"/>
      <c r="F1737" s="449"/>
      <c r="G1737" s="449"/>
      <c r="H1737" s="449"/>
      <c r="I1737" s="129"/>
      <c r="J1737" s="127"/>
      <c r="K1737" s="129"/>
      <c r="L1737" s="127"/>
    </row>
    <row r="1738" spans="1:12" s="82" customFormat="1" ht="13.5" customHeight="1">
      <c r="A1738" s="407"/>
      <c r="C1738" s="149"/>
      <c r="D1738" s="447" t="s">
        <v>37</v>
      </c>
      <c r="E1738" s="447"/>
      <c r="F1738" s="447"/>
      <c r="G1738" s="447"/>
      <c r="H1738" s="447"/>
      <c r="I1738" s="77">
        <f>SUM(I1739:I1741)</f>
        <v>94382</v>
      </c>
      <c r="J1738" s="77">
        <f>SUM(J1739:J1741)</f>
        <v>0</v>
      </c>
      <c r="K1738" s="77">
        <f>SUM(K1739:K1741)</f>
        <v>94382</v>
      </c>
      <c r="L1738" s="80"/>
    </row>
    <row r="1739" spans="1:12" s="82" customFormat="1" ht="13.5" customHeight="1">
      <c r="A1739" s="407"/>
      <c r="C1739" s="149"/>
      <c r="D1739" s="446" t="s">
        <v>5</v>
      </c>
      <c r="E1739" s="446"/>
      <c r="F1739" s="446"/>
      <c r="G1739" s="446"/>
      <c r="H1739" s="446"/>
      <c r="I1739" s="29">
        <v>20357</v>
      </c>
      <c r="J1739" s="80"/>
      <c r="K1739" s="29">
        <f>SUM(I1739:J1739)</f>
        <v>20357</v>
      </c>
      <c r="L1739" s="80"/>
    </row>
    <row r="1740" spans="1:12" s="82" customFormat="1" ht="13.5" customHeight="1">
      <c r="A1740" s="407"/>
      <c r="C1740" s="149"/>
      <c r="D1740" s="446" t="s">
        <v>6</v>
      </c>
      <c r="E1740" s="446"/>
      <c r="F1740" s="446"/>
      <c r="G1740" s="446"/>
      <c r="H1740" s="446"/>
      <c r="I1740" s="29">
        <v>74025</v>
      </c>
      <c r="J1740" s="80"/>
      <c r="K1740" s="29">
        <f>SUM(I1740:J1740)</f>
        <v>74025</v>
      </c>
      <c r="L1740" s="80"/>
    </row>
    <row r="1741" spans="1:12" s="82" customFormat="1" ht="13.5" customHeight="1" hidden="1">
      <c r="A1741" s="407"/>
      <c r="C1741" s="149"/>
      <c r="D1741" s="446" t="s">
        <v>7</v>
      </c>
      <c r="E1741" s="446"/>
      <c r="F1741" s="446"/>
      <c r="G1741" s="446"/>
      <c r="H1741" s="446"/>
      <c r="I1741" s="29"/>
      <c r="J1741" s="80"/>
      <c r="K1741" s="29">
        <f>SUM(I1741:J1741)</f>
        <v>0</v>
      </c>
      <c r="L1741" s="80"/>
    </row>
    <row r="1742" spans="1:12" s="82" customFormat="1" ht="13.5" customHeight="1">
      <c r="A1742" s="407"/>
      <c r="C1742" s="149"/>
      <c r="D1742" s="447" t="s">
        <v>38</v>
      </c>
      <c r="E1742" s="447"/>
      <c r="F1742" s="447"/>
      <c r="G1742" s="447"/>
      <c r="H1742" s="447"/>
      <c r="I1742" s="77">
        <f>SUM(I1743:I1749)</f>
        <v>216259</v>
      </c>
      <c r="J1742" s="77">
        <f>SUM(J1743:J1749)</f>
        <v>0</v>
      </c>
      <c r="K1742" s="77">
        <f>SUM(K1743:K1749)</f>
        <v>216259</v>
      </c>
      <c r="L1742" s="80"/>
    </row>
    <row r="1743" spans="1:12" s="82" customFormat="1" ht="13.5" customHeight="1">
      <c r="A1743" s="407"/>
      <c r="C1743" s="149"/>
      <c r="D1743" s="446" t="s">
        <v>289</v>
      </c>
      <c r="E1743" s="446"/>
      <c r="F1743" s="446"/>
      <c r="G1743" s="446"/>
      <c r="H1743" s="446"/>
      <c r="I1743" s="29">
        <f>65028</f>
        <v>65028</v>
      </c>
      <c r="J1743" s="80"/>
      <c r="K1743" s="29">
        <f aca="true" t="shared" si="115" ref="K1743:K1749">SUM(I1743:J1743)</f>
        <v>65028</v>
      </c>
      <c r="L1743" s="80"/>
    </row>
    <row r="1744" spans="1:12" s="82" customFormat="1" ht="12.75" customHeight="1">
      <c r="A1744" s="407"/>
      <c r="C1744" s="149"/>
      <c r="D1744" s="444" t="s">
        <v>8</v>
      </c>
      <c r="E1744" s="448"/>
      <c r="F1744" s="448"/>
      <c r="G1744" s="448"/>
      <c r="H1744" s="448"/>
      <c r="I1744" s="29">
        <f>8629+5941</f>
        <v>14570</v>
      </c>
      <c r="J1744" s="80"/>
      <c r="K1744" s="29">
        <f t="shared" si="115"/>
        <v>14570</v>
      </c>
      <c r="L1744" s="80"/>
    </row>
    <row r="1745" spans="1:12" s="82" customFormat="1" ht="13.5" customHeight="1" hidden="1">
      <c r="A1745" s="407"/>
      <c r="C1745" s="149"/>
      <c r="D1745" s="444" t="s">
        <v>10</v>
      </c>
      <c r="E1745" s="444"/>
      <c r="F1745" s="444"/>
      <c r="G1745" s="444"/>
      <c r="H1745" s="444"/>
      <c r="I1745" s="29"/>
      <c r="J1745" s="80"/>
      <c r="K1745" s="29">
        <f t="shared" si="115"/>
        <v>0</v>
      </c>
      <c r="L1745" s="80"/>
    </row>
    <row r="1746" spans="1:12" s="82" customFormat="1" ht="13.5" customHeight="1" hidden="1">
      <c r="A1746" s="407"/>
      <c r="C1746" s="151"/>
      <c r="D1746" s="444" t="s">
        <v>9</v>
      </c>
      <c r="E1746" s="444"/>
      <c r="F1746" s="444"/>
      <c r="G1746" s="444"/>
      <c r="H1746" s="444"/>
      <c r="I1746" s="29"/>
      <c r="J1746" s="80"/>
      <c r="K1746" s="29">
        <f t="shared" si="115"/>
        <v>0</v>
      </c>
      <c r="L1746" s="80"/>
    </row>
    <row r="1747" spans="1:12" s="82" customFormat="1" ht="13.5" customHeight="1">
      <c r="A1747" s="407"/>
      <c r="C1747" s="149"/>
      <c r="D1747" s="444" t="s">
        <v>11</v>
      </c>
      <c r="E1747" s="444"/>
      <c r="F1747" s="444"/>
      <c r="G1747" s="444"/>
      <c r="H1747" s="444"/>
      <c r="I1747" s="29">
        <f>16237-1345</f>
        <v>14892</v>
      </c>
      <c r="J1747" s="80"/>
      <c r="K1747" s="29">
        <f t="shared" si="115"/>
        <v>14892</v>
      </c>
      <c r="L1747" s="80"/>
    </row>
    <row r="1748" spans="1:12" s="82" customFormat="1" ht="13.5" customHeight="1" hidden="1">
      <c r="A1748" s="407"/>
      <c r="C1748" s="149"/>
      <c r="D1748" s="444" t="s">
        <v>12</v>
      </c>
      <c r="E1748" s="444"/>
      <c r="F1748" s="444"/>
      <c r="G1748" s="444"/>
      <c r="H1748" s="444"/>
      <c r="I1748" s="29"/>
      <c r="J1748" s="80"/>
      <c r="K1748" s="29">
        <f t="shared" si="115"/>
        <v>0</v>
      </c>
      <c r="L1748" s="80"/>
    </row>
    <row r="1749" spans="1:12" s="82" customFormat="1" ht="13.5" customHeight="1">
      <c r="A1749" s="407"/>
      <c r="C1749" s="149"/>
      <c r="D1749" s="444" t="s">
        <v>236</v>
      </c>
      <c r="E1749" s="444"/>
      <c r="F1749" s="444"/>
      <c r="G1749" s="444"/>
      <c r="H1749" s="444"/>
      <c r="I1749" s="29">
        <f>126365-4596</f>
        <v>121769</v>
      </c>
      <c r="J1749" s="80"/>
      <c r="K1749" s="29">
        <f t="shared" si="115"/>
        <v>121769</v>
      </c>
      <c r="L1749" s="80"/>
    </row>
    <row r="1750" spans="1:12" s="82" customFormat="1" ht="13.5" customHeight="1">
      <c r="A1750" s="407"/>
      <c r="C1750" s="149"/>
      <c r="D1750" s="445" t="s">
        <v>277</v>
      </c>
      <c r="E1750" s="445"/>
      <c r="F1750" s="445"/>
      <c r="G1750" s="445"/>
      <c r="H1750" s="445"/>
      <c r="I1750" s="77">
        <f>I1738-I1742</f>
        <v>-121877</v>
      </c>
      <c r="J1750" s="77">
        <f>J1738-J1742</f>
        <v>0</v>
      </c>
      <c r="K1750" s="77">
        <f>K1738-K1742</f>
        <v>-121877</v>
      </c>
      <c r="L1750" s="80"/>
    </row>
    <row r="1751" spans="1:12" s="82" customFormat="1" ht="13.5" customHeight="1">
      <c r="A1751" s="407"/>
      <c r="C1751" s="149"/>
      <c r="D1751" s="444" t="s">
        <v>279</v>
      </c>
      <c r="E1751" s="444"/>
      <c r="F1751" s="444"/>
      <c r="G1751" s="444"/>
      <c r="H1751" s="444"/>
      <c r="I1751" s="29">
        <f>I1752+I1753+I1754</f>
        <v>121877</v>
      </c>
      <c r="J1751" s="29">
        <f>J1752+J1753+J1754</f>
        <v>0</v>
      </c>
      <c r="K1751" s="29">
        <f>K1752+K1753+K1754</f>
        <v>121877</v>
      </c>
      <c r="L1751" s="80"/>
    </row>
    <row r="1752" spans="1:12" s="82" customFormat="1" ht="12.75" customHeight="1">
      <c r="A1752" s="407"/>
      <c r="C1752" s="149"/>
      <c r="D1752" s="444" t="s">
        <v>278</v>
      </c>
      <c r="E1752" s="444"/>
      <c r="F1752" s="444"/>
      <c r="G1752" s="444"/>
      <c r="H1752" s="444"/>
      <c r="I1752" s="29">
        <v>121877</v>
      </c>
      <c r="J1752" s="29"/>
      <c r="K1752" s="80">
        <f>SUM(I1752:J1752)</f>
        <v>121877</v>
      </c>
      <c r="L1752" s="80"/>
    </row>
    <row r="1753" spans="1:12" s="82" customFormat="1" ht="13.5" customHeight="1" hidden="1">
      <c r="A1753" s="407"/>
      <c r="C1753" s="149"/>
      <c r="D1753" s="444" t="s">
        <v>280</v>
      </c>
      <c r="E1753" s="444"/>
      <c r="F1753" s="444"/>
      <c r="G1753" s="444"/>
      <c r="H1753" s="444"/>
      <c r="I1753" s="29"/>
      <c r="J1753" s="77"/>
      <c r="K1753" s="80">
        <f>SUM(I1753:J1753)</f>
        <v>0</v>
      </c>
      <c r="L1753" s="80"/>
    </row>
    <row r="1754" spans="1:12" s="82" customFormat="1" ht="13.5" customHeight="1" hidden="1">
      <c r="A1754" s="407"/>
      <c r="C1754" s="149"/>
      <c r="D1754" s="444" t="s">
        <v>281</v>
      </c>
      <c r="E1754" s="444"/>
      <c r="F1754" s="444"/>
      <c r="G1754" s="444"/>
      <c r="H1754" s="444"/>
      <c r="I1754" s="29"/>
      <c r="J1754" s="77"/>
      <c r="K1754" s="80">
        <f>SUM(I1754:J1754)</f>
        <v>0</v>
      </c>
      <c r="L1754" s="80"/>
    </row>
    <row r="1755" spans="1:12" s="82" customFormat="1" ht="27.75" customHeight="1">
      <c r="A1755" s="407"/>
      <c r="C1755" s="149"/>
      <c r="D1755" s="85"/>
      <c r="E1755" s="85"/>
      <c r="F1755" s="85"/>
      <c r="G1755" s="85"/>
      <c r="H1755" s="85"/>
      <c r="I1755" s="29"/>
      <c r="J1755" s="80"/>
      <c r="K1755" s="29"/>
      <c r="L1755" s="80"/>
    </row>
    <row r="1756" spans="1:12" s="82" customFormat="1" ht="0.75" customHeight="1" hidden="1">
      <c r="A1756" s="407"/>
      <c r="C1756" s="149"/>
      <c r="D1756" s="81"/>
      <c r="E1756" s="81"/>
      <c r="F1756" s="81"/>
      <c r="G1756" s="81"/>
      <c r="H1756" s="81"/>
      <c r="I1756" s="29"/>
      <c r="J1756" s="80"/>
      <c r="K1756" s="80"/>
      <c r="L1756" s="80"/>
    </row>
    <row r="1757" spans="1:13" s="15" customFormat="1" ht="13.5" customHeight="1">
      <c r="A1757" s="407"/>
      <c r="C1757" s="142" t="s">
        <v>60</v>
      </c>
      <c r="D1757" s="450" t="s">
        <v>206</v>
      </c>
      <c r="E1757" s="450"/>
      <c r="F1757" s="450"/>
      <c r="G1757" s="450"/>
      <c r="H1757" s="450"/>
      <c r="I1757" s="17"/>
      <c r="J1757" s="126"/>
      <c r="K1757" s="126"/>
      <c r="L1757" s="127"/>
      <c r="M1757" s="95"/>
    </row>
    <row r="1758" spans="1:13" s="15" customFormat="1" ht="13.5" customHeight="1">
      <c r="A1758" s="407"/>
      <c r="C1758" s="154"/>
      <c r="D1758" s="447" t="s">
        <v>37</v>
      </c>
      <c r="E1758" s="447"/>
      <c r="F1758" s="447"/>
      <c r="G1758" s="447"/>
      <c r="H1758" s="447"/>
      <c r="I1758" s="77">
        <f>SUM(I1759:I1761)</f>
        <v>212281</v>
      </c>
      <c r="J1758" s="77">
        <f>SUM(J1759:J1761)</f>
        <v>5566</v>
      </c>
      <c r="K1758" s="77">
        <f>SUM(K1759:K1761)</f>
        <v>217847</v>
      </c>
      <c r="L1758" s="127"/>
      <c r="M1758" s="95"/>
    </row>
    <row r="1759" spans="1:13" s="15" customFormat="1" ht="13.5" customHeight="1">
      <c r="A1759" s="407"/>
      <c r="C1759" s="154"/>
      <c r="D1759" s="446" t="s">
        <v>5</v>
      </c>
      <c r="E1759" s="446"/>
      <c r="F1759" s="446"/>
      <c r="G1759" s="446"/>
      <c r="H1759" s="446"/>
      <c r="I1759" s="29">
        <f aca="true" t="shared" si="116" ref="I1759:K1761">I1796+I1814+I1832+I1777</f>
        <v>212281</v>
      </c>
      <c r="J1759" s="29">
        <f t="shared" si="116"/>
        <v>5566</v>
      </c>
      <c r="K1759" s="29">
        <f t="shared" si="116"/>
        <v>217847</v>
      </c>
      <c r="L1759" s="127"/>
      <c r="M1759" s="95"/>
    </row>
    <row r="1760" spans="1:13" s="15" customFormat="1" ht="13.5" customHeight="1" hidden="1">
      <c r="A1760" s="407"/>
      <c r="C1760" s="154"/>
      <c r="D1760" s="446" t="s">
        <v>6</v>
      </c>
      <c r="E1760" s="446"/>
      <c r="F1760" s="446"/>
      <c r="G1760" s="446"/>
      <c r="H1760" s="446"/>
      <c r="I1760" s="29">
        <f t="shared" si="116"/>
        <v>0</v>
      </c>
      <c r="J1760" s="29">
        <f t="shared" si="116"/>
        <v>0</v>
      </c>
      <c r="K1760" s="29">
        <f t="shared" si="116"/>
        <v>0</v>
      </c>
      <c r="L1760" s="127"/>
      <c r="M1760" s="95"/>
    </row>
    <row r="1761" spans="1:13" s="15" customFormat="1" ht="13.5" customHeight="1" hidden="1">
      <c r="A1761" s="407"/>
      <c r="C1761" s="154"/>
      <c r="D1761" s="446" t="s">
        <v>7</v>
      </c>
      <c r="E1761" s="446"/>
      <c r="F1761" s="446"/>
      <c r="G1761" s="446"/>
      <c r="H1761" s="446"/>
      <c r="I1761" s="29">
        <f t="shared" si="116"/>
        <v>0</v>
      </c>
      <c r="J1761" s="29">
        <f t="shared" si="116"/>
        <v>0</v>
      </c>
      <c r="K1761" s="29">
        <f t="shared" si="116"/>
        <v>0</v>
      </c>
      <c r="L1761" s="127"/>
      <c r="M1761" s="95"/>
    </row>
    <row r="1762" spans="1:13" s="15" customFormat="1" ht="13.5" customHeight="1">
      <c r="A1762" s="407"/>
      <c r="C1762" s="154"/>
      <c r="D1762" s="447" t="s">
        <v>38</v>
      </c>
      <c r="E1762" s="447"/>
      <c r="F1762" s="447"/>
      <c r="G1762" s="447"/>
      <c r="H1762" s="447"/>
      <c r="I1762" s="253">
        <f>SUM(I1763:I1768)</f>
        <v>213281</v>
      </c>
      <c r="J1762" s="253">
        <f>SUM(J1763:J1768)</f>
        <v>5566</v>
      </c>
      <c r="K1762" s="253">
        <f>SUM(K1763:K1768)</f>
        <v>218847</v>
      </c>
      <c r="L1762" s="127"/>
      <c r="M1762" s="95"/>
    </row>
    <row r="1763" spans="1:13" s="15" customFormat="1" ht="13.5" customHeight="1">
      <c r="A1763" s="407"/>
      <c r="C1763" s="154"/>
      <c r="D1763" s="446" t="s">
        <v>289</v>
      </c>
      <c r="E1763" s="446"/>
      <c r="F1763" s="446"/>
      <c r="G1763" s="446"/>
      <c r="H1763" s="446"/>
      <c r="I1763" s="29">
        <f aca="true" t="shared" si="117" ref="I1763:K1768">I1800+I1818+I1836+I1781</f>
        <v>92336</v>
      </c>
      <c r="J1763" s="29">
        <f t="shared" si="117"/>
        <v>5566</v>
      </c>
      <c r="K1763" s="29">
        <f t="shared" si="117"/>
        <v>97902</v>
      </c>
      <c r="L1763" s="127"/>
      <c r="M1763" s="95"/>
    </row>
    <row r="1764" spans="1:13" s="15" customFormat="1" ht="12.75" customHeight="1">
      <c r="A1764" s="407"/>
      <c r="C1764" s="154"/>
      <c r="D1764" s="444" t="s">
        <v>8</v>
      </c>
      <c r="E1764" s="448"/>
      <c r="F1764" s="448"/>
      <c r="G1764" s="448"/>
      <c r="H1764" s="448"/>
      <c r="I1764" s="29">
        <f t="shared" si="117"/>
        <v>120945</v>
      </c>
      <c r="J1764" s="29">
        <f t="shared" si="117"/>
        <v>0</v>
      </c>
      <c r="K1764" s="29">
        <f t="shared" si="117"/>
        <v>120945</v>
      </c>
      <c r="L1764" s="127"/>
      <c r="M1764" s="95"/>
    </row>
    <row r="1765" spans="1:13" s="15" customFormat="1" ht="13.5" customHeight="1" hidden="1">
      <c r="A1765" s="407"/>
      <c r="C1765" s="154"/>
      <c r="D1765" s="444" t="s">
        <v>10</v>
      </c>
      <c r="E1765" s="444"/>
      <c r="F1765" s="444"/>
      <c r="G1765" s="444"/>
      <c r="H1765" s="444"/>
      <c r="I1765" s="29">
        <f t="shared" si="117"/>
        <v>0</v>
      </c>
      <c r="J1765" s="29">
        <f t="shared" si="117"/>
        <v>0</v>
      </c>
      <c r="K1765" s="29">
        <f t="shared" si="117"/>
        <v>0</v>
      </c>
      <c r="L1765" s="127"/>
      <c r="M1765" s="95"/>
    </row>
    <row r="1766" spans="1:13" s="15" customFormat="1" ht="13.5" customHeight="1" hidden="1">
      <c r="A1766" s="407"/>
      <c r="C1766" s="154"/>
      <c r="D1766" s="444" t="s">
        <v>9</v>
      </c>
      <c r="E1766" s="444"/>
      <c r="F1766" s="444"/>
      <c r="G1766" s="444"/>
      <c r="H1766" s="444"/>
      <c r="I1766" s="29">
        <f t="shared" si="117"/>
        <v>0</v>
      </c>
      <c r="J1766" s="29">
        <f t="shared" si="117"/>
        <v>0</v>
      </c>
      <c r="K1766" s="29">
        <f t="shared" si="117"/>
        <v>0</v>
      </c>
      <c r="L1766" s="127"/>
      <c r="M1766" s="95"/>
    </row>
    <row r="1767" spans="1:13" s="15" customFormat="1" ht="13.5" customHeight="1" hidden="1">
      <c r="A1767" s="407"/>
      <c r="C1767" s="154"/>
      <c r="D1767" s="444" t="s">
        <v>11</v>
      </c>
      <c r="E1767" s="444"/>
      <c r="F1767" s="444"/>
      <c r="G1767" s="444"/>
      <c r="H1767" s="444"/>
      <c r="I1767" s="29">
        <f t="shared" si="117"/>
        <v>0</v>
      </c>
      <c r="J1767" s="29">
        <f t="shared" si="117"/>
        <v>0</v>
      </c>
      <c r="K1767" s="29">
        <f t="shared" si="117"/>
        <v>0</v>
      </c>
      <c r="L1767" s="127"/>
      <c r="M1767" s="95"/>
    </row>
    <row r="1768" spans="1:13" s="15" customFormat="1" ht="13.5" customHeight="1" hidden="1">
      <c r="A1768" s="407"/>
      <c r="C1768" s="154"/>
      <c r="D1768" s="444" t="s">
        <v>12</v>
      </c>
      <c r="E1768" s="444"/>
      <c r="F1768" s="444"/>
      <c r="G1768" s="444"/>
      <c r="H1768" s="444"/>
      <c r="I1768" s="29">
        <f t="shared" si="117"/>
        <v>0</v>
      </c>
      <c r="J1768" s="29">
        <f t="shared" si="117"/>
        <v>0</v>
      </c>
      <c r="K1768" s="29">
        <f t="shared" si="117"/>
        <v>0</v>
      </c>
      <c r="L1768" s="127"/>
      <c r="M1768" s="95"/>
    </row>
    <row r="1769" spans="1:13" s="15" customFormat="1" ht="13.5" customHeight="1">
      <c r="A1769" s="407"/>
      <c r="C1769" s="154"/>
      <c r="D1769" s="445" t="s">
        <v>277</v>
      </c>
      <c r="E1769" s="445"/>
      <c r="F1769" s="445"/>
      <c r="G1769" s="445"/>
      <c r="H1769" s="445"/>
      <c r="I1769" s="77">
        <f>I1758-I1762</f>
        <v>-1000</v>
      </c>
      <c r="J1769" s="77">
        <f>J1758-J1762</f>
        <v>0</v>
      </c>
      <c r="K1769" s="77">
        <f>K1758-K1762</f>
        <v>-1000</v>
      </c>
      <c r="L1769" s="127"/>
      <c r="M1769" s="95"/>
    </row>
    <row r="1770" spans="1:13" s="15" customFormat="1" ht="13.5" customHeight="1">
      <c r="A1770" s="407"/>
      <c r="C1770" s="154"/>
      <c r="D1770" s="444" t="s">
        <v>279</v>
      </c>
      <c r="E1770" s="444"/>
      <c r="F1770" s="444"/>
      <c r="G1770" s="444"/>
      <c r="H1770" s="444"/>
      <c r="I1770" s="29">
        <f>I1771+I1772+I1773</f>
        <v>1000</v>
      </c>
      <c r="J1770" s="29">
        <f>J1771+J1772+J1773</f>
        <v>0</v>
      </c>
      <c r="K1770" s="29">
        <f>K1771+K1772+K1773</f>
        <v>1000</v>
      </c>
      <c r="L1770" s="127"/>
      <c r="M1770" s="95"/>
    </row>
    <row r="1771" spans="1:13" s="15" customFormat="1" ht="12.75" customHeight="1">
      <c r="A1771" s="407"/>
      <c r="C1771" s="154"/>
      <c r="D1771" s="444" t="s">
        <v>278</v>
      </c>
      <c r="E1771" s="444"/>
      <c r="F1771" s="444"/>
      <c r="G1771" s="444"/>
      <c r="H1771" s="444"/>
      <c r="I1771" s="29">
        <f aca="true" t="shared" si="118" ref="I1771:K1773">I1789+I1808+I1826+I1844</f>
        <v>1000</v>
      </c>
      <c r="J1771" s="29">
        <f t="shared" si="118"/>
        <v>0</v>
      </c>
      <c r="K1771" s="29">
        <f t="shared" si="118"/>
        <v>1000</v>
      </c>
      <c r="L1771" s="127"/>
      <c r="M1771" s="95"/>
    </row>
    <row r="1772" spans="1:13" s="15" customFormat="1" ht="13.5" customHeight="1" hidden="1">
      <c r="A1772" s="407"/>
      <c r="C1772" s="154"/>
      <c r="D1772" s="444" t="s">
        <v>280</v>
      </c>
      <c r="E1772" s="444"/>
      <c r="F1772" s="444"/>
      <c r="G1772" s="444"/>
      <c r="H1772" s="444"/>
      <c r="I1772" s="29">
        <f t="shared" si="118"/>
        <v>0</v>
      </c>
      <c r="J1772" s="29">
        <f t="shared" si="118"/>
        <v>0</v>
      </c>
      <c r="K1772" s="29">
        <f t="shared" si="118"/>
        <v>0</v>
      </c>
      <c r="L1772" s="127"/>
      <c r="M1772" s="95"/>
    </row>
    <row r="1773" spans="1:13" s="15" customFormat="1" ht="13.5" customHeight="1" hidden="1">
      <c r="A1773" s="407"/>
      <c r="C1773" s="154"/>
      <c r="D1773" s="444" t="s">
        <v>281</v>
      </c>
      <c r="E1773" s="444"/>
      <c r="F1773" s="444"/>
      <c r="G1773" s="444"/>
      <c r="H1773" s="444"/>
      <c r="I1773" s="29">
        <f t="shared" si="118"/>
        <v>0</v>
      </c>
      <c r="J1773" s="29">
        <f t="shared" si="118"/>
        <v>0</v>
      </c>
      <c r="K1773" s="29">
        <f t="shared" si="118"/>
        <v>0</v>
      </c>
      <c r="L1773" s="127"/>
      <c r="M1773" s="95"/>
    </row>
    <row r="1774" spans="1:13" s="15" customFormat="1" ht="7.5" customHeight="1">
      <c r="A1774" s="407"/>
      <c r="C1774" s="154"/>
      <c r="D1774" s="85"/>
      <c r="E1774" s="85"/>
      <c r="F1774" s="85"/>
      <c r="G1774" s="85"/>
      <c r="H1774" s="85"/>
      <c r="I1774" s="29"/>
      <c r="J1774" s="78"/>
      <c r="K1774" s="78"/>
      <c r="L1774" s="127"/>
      <c r="M1774" s="95"/>
    </row>
    <row r="1775" spans="1:12" s="95" customFormat="1" ht="13.5" customHeight="1">
      <c r="A1775" s="407"/>
      <c r="C1775" s="153" t="s">
        <v>65</v>
      </c>
      <c r="D1775" s="449" t="s">
        <v>250</v>
      </c>
      <c r="E1775" s="449"/>
      <c r="F1775" s="449"/>
      <c r="G1775" s="449"/>
      <c r="H1775" s="449"/>
      <c r="I1775" s="129"/>
      <c r="J1775" s="127"/>
      <c r="K1775" s="127"/>
      <c r="L1775" s="127"/>
    </row>
    <row r="1776" spans="1:13" s="15" customFormat="1" ht="12" customHeight="1">
      <c r="A1776" s="407"/>
      <c r="C1776" s="149"/>
      <c r="D1776" s="447" t="s">
        <v>37</v>
      </c>
      <c r="E1776" s="447"/>
      <c r="F1776" s="447"/>
      <c r="G1776" s="447"/>
      <c r="H1776" s="447"/>
      <c r="I1776" s="77">
        <f>SUM(I1777:I1779)</f>
        <v>0</v>
      </c>
      <c r="J1776" s="77">
        <f>SUM(J1777:J1779)</f>
        <v>0</v>
      </c>
      <c r="K1776" s="77">
        <f>SUM(K1777:K1779)</f>
        <v>0</v>
      </c>
      <c r="L1776" s="127"/>
      <c r="M1776" s="95"/>
    </row>
    <row r="1777" spans="1:13" s="15" customFormat="1" ht="13.5" customHeight="1" hidden="1">
      <c r="A1777" s="407"/>
      <c r="C1777" s="149"/>
      <c r="D1777" s="446" t="s">
        <v>5</v>
      </c>
      <c r="E1777" s="446"/>
      <c r="F1777" s="446"/>
      <c r="G1777" s="446"/>
      <c r="H1777" s="446"/>
      <c r="I1777" s="29"/>
      <c r="J1777" s="80"/>
      <c r="K1777" s="80">
        <f>SUM(I1777:J1777)</f>
        <v>0</v>
      </c>
      <c r="L1777" s="127"/>
      <c r="M1777" s="95"/>
    </row>
    <row r="1778" spans="1:13" s="15" customFormat="1" ht="13.5" customHeight="1" hidden="1">
      <c r="A1778" s="407"/>
      <c r="C1778" s="149"/>
      <c r="D1778" s="446" t="s">
        <v>6</v>
      </c>
      <c r="E1778" s="446"/>
      <c r="F1778" s="446"/>
      <c r="G1778" s="446"/>
      <c r="H1778" s="446"/>
      <c r="I1778" s="29"/>
      <c r="J1778" s="80"/>
      <c r="K1778" s="80">
        <f>SUM(I1778:J1778)</f>
        <v>0</v>
      </c>
      <c r="L1778" s="127"/>
      <c r="M1778" s="95"/>
    </row>
    <row r="1779" spans="1:13" s="15" customFormat="1" ht="13.5" customHeight="1" hidden="1">
      <c r="A1779" s="407"/>
      <c r="C1779" s="149"/>
      <c r="D1779" s="446" t="s">
        <v>7</v>
      </c>
      <c r="E1779" s="446"/>
      <c r="F1779" s="446"/>
      <c r="G1779" s="446"/>
      <c r="H1779" s="446"/>
      <c r="I1779" s="29"/>
      <c r="J1779" s="80"/>
      <c r="K1779" s="80">
        <f>SUM(I1779:J1779)</f>
        <v>0</v>
      </c>
      <c r="L1779" s="127"/>
      <c r="M1779" s="95"/>
    </row>
    <row r="1780" spans="1:13" s="15" customFormat="1" ht="13.5" customHeight="1">
      <c r="A1780" s="407"/>
      <c r="C1780" s="149"/>
      <c r="D1780" s="447" t="s">
        <v>38</v>
      </c>
      <c r="E1780" s="447"/>
      <c r="F1780" s="447"/>
      <c r="G1780" s="447"/>
      <c r="H1780" s="447"/>
      <c r="I1780" s="254">
        <f>SUM(I1781:I1786)</f>
        <v>1000</v>
      </c>
      <c r="J1780" s="254">
        <f>SUM(J1781:J1786)</f>
        <v>0</v>
      </c>
      <c r="K1780" s="254">
        <f>SUM(K1781:K1786)</f>
        <v>1000</v>
      </c>
      <c r="L1780" s="127"/>
      <c r="M1780" s="95"/>
    </row>
    <row r="1781" spans="1:13" s="15" customFormat="1" ht="13.5" customHeight="1" hidden="1">
      <c r="A1781" s="407"/>
      <c r="C1781" s="149"/>
      <c r="D1781" s="446" t="s">
        <v>289</v>
      </c>
      <c r="E1781" s="446"/>
      <c r="F1781" s="446"/>
      <c r="G1781" s="446"/>
      <c r="H1781" s="446"/>
      <c r="I1781" s="29"/>
      <c r="J1781" s="80"/>
      <c r="K1781" s="80">
        <f aca="true" t="shared" si="119" ref="K1781:K1786">SUM(I1781:J1781)</f>
        <v>0</v>
      </c>
      <c r="L1781" s="127"/>
      <c r="M1781" s="95"/>
    </row>
    <row r="1782" spans="1:13" s="15" customFormat="1" ht="12.75" customHeight="1">
      <c r="A1782" s="407"/>
      <c r="C1782" s="149"/>
      <c r="D1782" s="444" t="s">
        <v>8</v>
      </c>
      <c r="E1782" s="448"/>
      <c r="F1782" s="448"/>
      <c r="G1782" s="448"/>
      <c r="H1782" s="448"/>
      <c r="I1782" s="29">
        <v>1000</v>
      </c>
      <c r="J1782" s="80"/>
      <c r="K1782" s="80">
        <f t="shared" si="119"/>
        <v>1000</v>
      </c>
      <c r="L1782" s="127"/>
      <c r="M1782" s="95"/>
    </row>
    <row r="1783" spans="1:13" s="15" customFormat="1" ht="13.5" customHeight="1" hidden="1">
      <c r="A1783" s="407"/>
      <c r="C1783" s="149"/>
      <c r="D1783" s="444" t="s">
        <v>10</v>
      </c>
      <c r="E1783" s="444"/>
      <c r="F1783" s="444"/>
      <c r="G1783" s="444"/>
      <c r="H1783" s="444"/>
      <c r="I1783" s="29"/>
      <c r="J1783" s="80"/>
      <c r="K1783" s="80">
        <f t="shared" si="119"/>
        <v>0</v>
      </c>
      <c r="L1783" s="127"/>
      <c r="M1783" s="95"/>
    </row>
    <row r="1784" spans="1:13" s="15" customFormat="1" ht="13.5" customHeight="1" hidden="1">
      <c r="A1784" s="407"/>
      <c r="C1784" s="151"/>
      <c r="D1784" s="444" t="s">
        <v>9</v>
      </c>
      <c r="E1784" s="444"/>
      <c r="F1784" s="444"/>
      <c r="G1784" s="444"/>
      <c r="H1784" s="444"/>
      <c r="I1784" s="29"/>
      <c r="J1784" s="80"/>
      <c r="K1784" s="80">
        <f t="shared" si="119"/>
        <v>0</v>
      </c>
      <c r="L1784" s="127"/>
      <c r="M1784" s="95"/>
    </row>
    <row r="1785" spans="1:13" s="15" customFormat="1" ht="13.5" customHeight="1" hidden="1">
      <c r="A1785" s="407"/>
      <c r="C1785" s="149"/>
      <c r="D1785" s="444" t="s">
        <v>11</v>
      </c>
      <c r="E1785" s="444"/>
      <c r="F1785" s="444"/>
      <c r="G1785" s="444"/>
      <c r="H1785" s="444"/>
      <c r="I1785" s="29"/>
      <c r="J1785" s="80"/>
      <c r="K1785" s="80">
        <f t="shared" si="119"/>
        <v>0</v>
      </c>
      <c r="L1785" s="127"/>
      <c r="M1785" s="95"/>
    </row>
    <row r="1786" spans="1:13" s="15" customFormat="1" ht="13.5" customHeight="1" hidden="1">
      <c r="A1786" s="407"/>
      <c r="C1786" s="149"/>
      <c r="D1786" s="444" t="s">
        <v>12</v>
      </c>
      <c r="E1786" s="444"/>
      <c r="F1786" s="444"/>
      <c r="G1786" s="444"/>
      <c r="H1786" s="444"/>
      <c r="I1786" s="29"/>
      <c r="J1786" s="80"/>
      <c r="K1786" s="80">
        <f t="shared" si="119"/>
        <v>0</v>
      </c>
      <c r="L1786" s="127"/>
      <c r="M1786" s="95"/>
    </row>
    <row r="1787" spans="1:13" s="15" customFormat="1" ht="13.5" customHeight="1">
      <c r="A1787" s="407"/>
      <c r="C1787" s="149"/>
      <c r="D1787" s="445" t="s">
        <v>277</v>
      </c>
      <c r="E1787" s="445"/>
      <c r="F1787" s="445"/>
      <c r="G1787" s="445"/>
      <c r="H1787" s="445"/>
      <c r="I1787" s="77">
        <f>I1776-I1780</f>
        <v>-1000</v>
      </c>
      <c r="J1787" s="77">
        <f>J1776-J1780</f>
        <v>0</v>
      </c>
      <c r="K1787" s="77">
        <f>K1776-K1780</f>
        <v>-1000</v>
      </c>
      <c r="L1787" s="127"/>
      <c r="M1787" s="95"/>
    </row>
    <row r="1788" spans="1:13" s="15" customFormat="1" ht="13.5" customHeight="1">
      <c r="A1788" s="407"/>
      <c r="C1788" s="149"/>
      <c r="D1788" s="444" t="s">
        <v>279</v>
      </c>
      <c r="E1788" s="444"/>
      <c r="F1788" s="444"/>
      <c r="G1788" s="444"/>
      <c r="H1788" s="444"/>
      <c r="I1788" s="29">
        <f>I1789+I1790+I1791</f>
        <v>1000</v>
      </c>
      <c r="J1788" s="29">
        <f>J1789+J1790+J1791</f>
        <v>0</v>
      </c>
      <c r="K1788" s="29">
        <f>K1789+K1790+K1791</f>
        <v>1000</v>
      </c>
      <c r="L1788" s="127"/>
      <c r="M1788" s="95"/>
    </row>
    <row r="1789" spans="1:13" s="15" customFormat="1" ht="12" customHeight="1">
      <c r="A1789" s="407"/>
      <c r="C1789" s="149"/>
      <c r="D1789" s="444" t="s">
        <v>278</v>
      </c>
      <c r="E1789" s="444"/>
      <c r="F1789" s="444"/>
      <c r="G1789" s="444"/>
      <c r="H1789" s="444"/>
      <c r="I1789" s="29">
        <v>1000</v>
      </c>
      <c r="J1789" s="77"/>
      <c r="K1789" s="80">
        <f>SUM(I1789:J1789)</f>
        <v>1000</v>
      </c>
      <c r="L1789" s="127"/>
      <c r="M1789" s="95"/>
    </row>
    <row r="1790" spans="1:13" s="15" customFormat="1" ht="13.5" customHeight="1" hidden="1">
      <c r="A1790" s="407"/>
      <c r="C1790" s="149"/>
      <c r="D1790" s="444" t="s">
        <v>280</v>
      </c>
      <c r="E1790" s="444"/>
      <c r="F1790" s="444"/>
      <c r="G1790" s="444"/>
      <c r="H1790" s="444"/>
      <c r="I1790" s="29"/>
      <c r="J1790" s="77"/>
      <c r="K1790" s="80">
        <f>SUM(I1790:J1790)</f>
        <v>0</v>
      </c>
      <c r="L1790" s="127"/>
      <c r="M1790" s="95"/>
    </row>
    <row r="1791" spans="1:13" s="15" customFormat="1" ht="13.5" customHeight="1" hidden="1">
      <c r="A1791" s="407"/>
      <c r="C1791" s="149"/>
      <c r="D1791" s="444" t="s">
        <v>281</v>
      </c>
      <c r="E1791" s="444"/>
      <c r="F1791" s="444"/>
      <c r="G1791" s="444"/>
      <c r="H1791" s="444"/>
      <c r="I1791" s="29"/>
      <c r="J1791" s="77"/>
      <c r="K1791" s="80">
        <f>SUM(I1791:J1791)</f>
        <v>0</v>
      </c>
      <c r="L1791" s="127"/>
      <c r="M1791" s="95"/>
    </row>
    <row r="1792" spans="1:13" s="15" customFormat="1" ht="3" customHeight="1">
      <c r="A1792" s="407"/>
      <c r="C1792" s="149"/>
      <c r="D1792" s="85"/>
      <c r="E1792" s="85"/>
      <c r="F1792" s="85"/>
      <c r="G1792" s="85"/>
      <c r="H1792" s="85"/>
      <c r="I1792" s="29"/>
      <c r="J1792" s="77"/>
      <c r="K1792" s="80"/>
      <c r="L1792" s="127"/>
      <c r="M1792" s="95"/>
    </row>
    <row r="1793" spans="1:13" s="15" customFormat="1" ht="13.5" customHeight="1" hidden="1">
      <c r="A1793" s="407"/>
      <c r="C1793" s="149"/>
      <c r="D1793" s="85"/>
      <c r="E1793" s="85"/>
      <c r="F1793" s="85"/>
      <c r="G1793" s="85"/>
      <c r="H1793" s="85"/>
      <c r="I1793" s="29"/>
      <c r="J1793" s="80"/>
      <c r="K1793" s="80"/>
      <c r="L1793" s="127"/>
      <c r="M1793" s="95"/>
    </row>
    <row r="1794" spans="1:12" s="95" customFormat="1" ht="13.5" customHeight="1">
      <c r="A1794" s="407"/>
      <c r="C1794" s="153" t="s">
        <v>108</v>
      </c>
      <c r="D1794" s="449" t="s">
        <v>63</v>
      </c>
      <c r="E1794" s="449"/>
      <c r="F1794" s="449"/>
      <c r="G1794" s="449"/>
      <c r="H1794" s="449"/>
      <c r="I1794" s="129"/>
      <c r="J1794" s="127"/>
      <c r="K1794" s="127"/>
      <c r="L1794" s="127"/>
    </row>
    <row r="1795" spans="1:12" s="82" customFormat="1" ht="13.5" customHeight="1">
      <c r="A1795" s="407"/>
      <c r="C1795" s="149"/>
      <c r="D1795" s="447" t="s">
        <v>37</v>
      </c>
      <c r="E1795" s="447"/>
      <c r="F1795" s="447"/>
      <c r="G1795" s="447"/>
      <c r="H1795" s="447"/>
      <c r="I1795" s="77">
        <f>SUM(I1796:I1798)</f>
        <v>134519</v>
      </c>
      <c r="J1795" s="77">
        <f>SUM(J1796:J1798)</f>
        <v>0</v>
      </c>
      <c r="K1795" s="77">
        <f>SUM(K1796:K1798)</f>
        <v>134519</v>
      </c>
      <c r="L1795" s="80"/>
    </row>
    <row r="1796" spans="1:12" s="82" customFormat="1" ht="12" customHeight="1">
      <c r="A1796" s="407"/>
      <c r="C1796" s="149"/>
      <c r="D1796" s="446" t="s">
        <v>5</v>
      </c>
      <c r="E1796" s="446"/>
      <c r="F1796" s="446"/>
      <c r="G1796" s="446"/>
      <c r="H1796" s="446"/>
      <c r="I1796" s="29">
        <f>102169+7000+25350</f>
        <v>134519</v>
      </c>
      <c r="J1796" s="80"/>
      <c r="K1796" s="80">
        <f>SUM(I1796:J1796)</f>
        <v>134519</v>
      </c>
      <c r="L1796" s="80"/>
    </row>
    <row r="1797" spans="1:12" s="82" customFormat="1" ht="13.5" customHeight="1" hidden="1">
      <c r="A1797" s="407"/>
      <c r="C1797" s="149"/>
      <c r="D1797" s="446" t="s">
        <v>6</v>
      </c>
      <c r="E1797" s="446"/>
      <c r="F1797" s="446"/>
      <c r="G1797" s="446"/>
      <c r="H1797" s="446"/>
      <c r="I1797" s="29"/>
      <c r="J1797" s="80"/>
      <c r="K1797" s="80">
        <f>SUM(I1797:J1797)</f>
        <v>0</v>
      </c>
      <c r="L1797" s="80"/>
    </row>
    <row r="1798" spans="1:12" s="82" customFormat="1" ht="13.5" customHeight="1" hidden="1">
      <c r="A1798" s="407"/>
      <c r="C1798" s="149"/>
      <c r="D1798" s="446" t="s">
        <v>7</v>
      </c>
      <c r="E1798" s="446"/>
      <c r="F1798" s="446"/>
      <c r="G1798" s="446"/>
      <c r="H1798" s="446"/>
      <c r="I1798" s="29"/>
      <c r="J1798" s="80"/>
      <c r="K1798" s="80">
        <f>SUM(I1798:J1798)</f>
        <v>0</v>
      </c>
      <c r="L1798" s="80"/>
    </row>
    <row r="1799" spans="1:12" s="82" customFormat="1" ht="13.5" customHeight="1">
      <c r="A1799" s="407"/>
      <c r="C1799" s="149"/>
      <c r="D1799" s="447" t="s">
        <v>38</v>
      </c>
      <c r="E1799" s="447"/>
      <c r="F1799" s="447"/>
      <c r="G1799" s="447"/>
      <c r="H1799" s="447"/>
      <c r="I1799" s="254">
        <f>SUM(I1800:I1805)</f>
        <v>134519</v>
      </c>
      <c r="J1799" s="254">
        <f>SUM(J1800:J1805)</f>
        <v>0</v>
      </c>
      <c r="K1799" s="254">
        <f>SUM(K1800:K1805)</f>
        <v>134519</v>
      </c>
      <c r="L1799" s="80"/>
    </row>
    <row r="1800" spans="1:12" s="82" customFormat="1" ht="13.5" customHeight="1">
      <c r="A1800" s="407"/>
      <c r="C1800" s="149"/>
      <c r="D1800" s="446" t="s">
        <v>289</v>
      </c>
      <c r="E1800" s="446"/>
      <c r="F1800" s="446"/>
      <c r="G1800" s="446"/>
      <c r="H1800" s="446"/>
      <c r="I1800" s="29">
        <f>18116+1241+3350</f>
        <v>22707</v>
      </c>
      <c r="J1800" s="80"/>
      <c r="K1800" s="80">
        <f>SUM(I1800:J1800)</f>
        <v>22707</v>
      </c>
      <c r="L1800" s="80"/>
    </row>
    <row r="1801" spans="1:12" s="82" customFormat="1" ht="12.75" customHeight="1">
      <c r="A1801" s="407"/>
      <c r="C1801" s="149"/>
      <c r="D1801" s="444" t="s">
        <v>8</v>
      </c>
      <c r="E1801" s="448"/>
      <c r="F1801" s="448"/>
      <c r="G1801" s="448"/>
      <c r="H1801" s="448"/>
      <c r="I1801" s="29">
        <f>84053+5759+22000</f>
        <v>111812</v>
      </c>
      <c r="J1801" s="80"/>
      <c r="K1801" s="80">
        <f>SUM(I1801:J1801)</f>
        <v>111812</v>
      </c>
      <c r="L1801" s="80"/>
    </row>
    <row r="1802" spans="1:12" s="82" customFormat="1" ht="13.5" customHeight="1" hidden="1">
      <c r="A1802" s="407"/>
      <c r="C1802" s="149"/>
      <c r="D1802" s="444" t="s">
        <v>10</v>
      </c>
      <c r="E1802" s="444"/>
      <c r="F1802" s="444"/>
      <c r="G1802" s="444"/>
      <c r="H1802" s="444"/>
      <c r="I1802" s="29"/>
      <c r="J1802" s="80"/>
      <c r="K1802" s="80">
        <f>SUM(I1802:J1802)</f>
        <v>0</v>
      </c>
      <c r="L1802" s="80"/>
    </row>
    <row r="1803" spans="1:13" s="79" customFormat="1" ht="13.5" customHeight="1" hidden="1">
      <c r="A1803" s="407"/>
      <c r="C1803" s="151"/>
      <c r="D1803" s="444" t="s">
        <v>9</v>
      </c>
      <c r="E1803" s="444"/>
      <c r="F1803" s="444"/>
      <c r="G1803" s="444"/>
      <c r="H1803" s="444"/>
      <c r="I1803" s="29"/>
      <c r="J1803" s="77"/>
      <c r="K1803" s="80">
        <f>SUM(I1803:J1803)</f>
        <v>0</v>
      </c>
      <c r="L1803" s="80"/>
      <c r="M1803" s="82"/>
    </row>
    <row r="1804" spans="1:12" s="82" customFormat="1" ht="13.5" customHeight="1" hidden="1">
      <c r="A1804" s="407"/>
      <c r="C1804" s="149"/>
      <c r="D1804" s="444" t="s">
        <v>11</v>
      </c>
      <c r="E1804" s="444"/>
      <c r="F1804" s="444"/>
      <c r="G1804" s="444"/>
      <c r="H1804" s="444"/>
      <c r="I1804" s="29"/>
      <c r="J1804" s="80"/>
      <c r="K1804" s="80">
        <f>SUM(I1804:J1804)</f>
        <v>0</v>
      </c>
      <c r="L1804" s="80"/>
    </row>
    <row r="1805" spans="1:12" s="82" customFormat="1" ht="13.5" customHeight="1" hidden="1">
      <c r="A1805" s="407"/>
      <c r="C1805" s="149"/>
      <c r="D1805" s="444" t="s">
        <v>12</v>
      </c>
      <c r="E1805" s="444"/>
      <c r="F1805" s="444"/>
      <c r="G1805" s="444"/>
      <c r="H1805" s="444"/>
      <c r="I1805" s="29"/>
      <c r="J1805" s="80"/>
      <c r="K1805" s="29"/>
      <c r="L1805" s="80"/>
    </row>
    <row r="1806" spans="1:12" s="82" customFormat="1" ht="13.5" customHeight="1">
      <c r="A1806" s="407"/>
      <c r="C1806" s="149"/>
      <c r="D1806" s="445" t="s">
        <v>277</v>
      </c>
      <c r="E1806" s="445"/>
      <c r="F1806" s="445"/>
      <c r="G1806" s="445"/>
      <c r="H1806" s="445"/>
      <c r="I1806" s="77">
        <f>I1795-I1799</f>
        <v>0</v>
      </c>
      <c r="J1806" s="77">
        <f>J1795-J1799</f>
        <v>0</v>
      </c>
      <c r="K1806" s="77">
        <f>K1795-K1799</f>
        <v>0</v>
      </c>
      <c r="L1806" s="80"/>
    </row>
    <row r="1807" spans="1:12" s="82" customFormat="1" ht="12.75" customHeight="1">
      <c r="A1807" s="407"/>
      <c r="C1807" s="149"/>
      <c r="D1807" s="444" t="s">
        <v>279</v>
      </c>
      <c r="E1807" s="444"/>
      <c r="F1807" s="444"/>
      <c r="G1807" s="444"/>
      <c r="H1807" s="444"/>
      <c r="I1807" s="29">
        <f>I1808+I1809+I1810</f>
        <v>0</v>
      </c>
      <c r="J1807" s="29">
        <f>J1808+J1809+J1810</f>
        <v>0</v>
      </c>
      <c r="K1807" s="29">
        <f>K1808+K1809+K1810</f>
        <v>0</v>
      </c>
      <c r="L1807" s="80"/>
    </row>
    <row r="1808" spans="1:12" s="82" customFormat="1" ht="13.5" customHeight="1" hidden="1">
      <c r="A1808" s="407"/>
      <c r="C1808" s="149"/>
      <c r="D1808" s="444" t="s">
        <v>278</v>
      </c>
      <c r="E1808" s="444"/>
      <c r="F1808" s="444"/>
      <c r="G1808" s="444"/>
      <c r="H1808" s="444"/>
      <c r="I1808" s="29"/>
      <c r="J1808" s="77"/>
      <c r="K1808" s="80">
        <f>SUM(I1808:J1808)</f>
        <v>0</v>
      </c>
      <c r="L1808" s="80"/>
    </row>
    <row r="1809" spans="1:12" s="82" customFormat="1" ht="13.5" customHeight="1" hidden="1">
      <c r="A1809" s="407"/>
      <c r="C1809" s="149"/>
      <c r="D1809" s="444" t="s">
        <v>280</v>
      </c>
      <c r="E1809" s="444"/>
      <c r="F1809" s="444"/>
      <c r="G1809" s="444"/>
      <c r="H1809" s="444"/>
      <c r="I1809" s="29"/>
      <c r="J1809" s="77"/>
      <c r="K1809" s="80">
        <f>SUM(I1809:J1809)</f>
        <v>0</v>
      </c>
      <c r="L1809" s="80"/>
    </row>
    <row r="1810" spans="1:12" s="82" customFormat="1" ht="13.5" customHeight="1" hidden="1">
      <c r="A1810" s="407"/>
      <c r="C1810" s="149"/>
      <c r="D1810" s="444" t="s">
        <v>281</v>
      </c>
      <c r="E1810" s="444"/>
      <c r="F1810" s="444"/>
      <c r="G1810" s="444"/>
      <c r="H1810" s="444"/>
      <c r="I1810" s="29"/>
      <c r="J1810" s="77"/>
      <c r="K1810" s="80">
        <f>SUM(I1810:J1810)</f>
        <v>0</v>
      </c>
      <c r="L1810" s="80"/>
    </row>
    <row r="1811" spans="1:12" s="95" customFormat="1" ht="7.5" customHeight="1" hidden="1">
      <c r="A1811" s="407"/>
      <c r="C1811" s="162"/>
      <c r="D1811" s="90"/>
      <c r="E1811" s="90"/>
      <c r="F1811" s="90"/>
      <c r="G1811" s="90"/>
      <c r="H1811" s="90"/>
      <c r="I1811" s="106"/>
      <c r="J1811" s="80"/>
      <c r="K1811" s="80"/>
      <c r="L1811" s="127"/>
    </row>
    <row r="1812" spans="1:12" s="132" customFormat="1" ht="13.5" customHeight="1" hidden="1">
      <c r="A1812" s="411"/>
      <c r="C1812" s="135" t="s">
        <v>108</v>
      </c>
      <c r="D1812" s="436" t="s">
        <v>64</v>
      </c>
      <c r="E1812" s="436"/>
      <c r="F1812" s="436"/>
      <c r="G1812" s="436"/>
      <c r="H1812" s="436"/>
      <c r="I1812" s="136"/>
      <c r="J1812" s="131"/>
      <c r="K1812" s="131"/>
      <c r="L1812" s="131"/>
    </row>
    <row r="1813" spans="1:13" s="79" customFormat="1" ht="13.5" customHeight="1" hidden="1">
      <c r="A1813" s="407"/>
      <c r="C1813" s="151"/>
      <c r="D1813" s="447" t="s">
        <v>37</v>
      </c>
      <c r="E1813" s="447"/>
      <c r="F1813" s="447"/>
      <c r="G1813" s="447"/>
      <c r="H1813" s="447"/>
      <c r="I1813" s="77">
        <f>SUM(I1814:I1816)</f>
        <v>0</v>
      </c>
      <c r="J1813" s="77">
        <f>SUM(J1814:J1816)</f>
        <v>0</v>
      </c>
      <c r="K1813" s="77">
        <f>SUM(K1814:K1816)</f>
        <v>0</v>
      </c>
      <c r="L1813" s="80"/>
      <c r="M1813" s="82"/>
    </row>
    <row r="1814" spans="1:13" s="79" customFormat="1" ht="13.5" customHeight="1" hidden="1">
      <c r="A1814" s="407"/>
      <c r="C1814" s="151"/>
      <c r="D1814" s="446" t="s">
        <v>5</v>
      </c>
      <c r="E1814" s="446"/>
      <c r="F1814" s="446"/>
      <c r="G1814" s="446"/>
      <c r="H1814" s="446"/>
      <c r="I1814" s="77"/>
      <c r="J1814" s="78"/>
      <c r="K1814" s="29">
        <f>SUM(I1814:J1814)</f>
        <v>0</v>
      </c>
      <c r="L1814" s="80"/>
      <c r="M1814" s="82"/>
    </row>
    <row r="1815" spans="1:13" s="79" customFormat="1" ht="13.5" customHeight="1" hidden="1">
      <c r="A1815" s="407"/>
      <c r="C1815" s="151"/>
      <c r="D1815" s="446" t="s">
        <v>6</v>
      </c>
      <c r="E1815" s="446"/>
      <c r="F1815" s="446"/>
      <c r="G1815" s="446"/>
      <c r="H1815" s="446"/>
      <c r="I1815" s="77"/>
      <c r="J1815" s="78"/>
      <c r="K1815" s="29">
        <f>SUM(I1815:J1815)</f>
        <v>0</v>
      </c>
      <c r="L1815" s="80"/>
      <c r="M1815" s="82"/>
    </row>
    <row r="1816" spans="1:13" s="79" customFormat="1" ht="13.5" customHeight="1" hidden="1">
      <c r="A1816" s="407"/>
      <c r="C1816" s="151"/>
      <c r="D1816" s="446" t="s">
        <v>7</v>
      </c>
      <c r="E1816" s="446"/>
      <c r="F1816" s="446"/>
      <c r="G1816" s="446"/>
      <c r="H1816" s="446"/>
      <c r="I1816" s="29"/>
      <c r="J1816" s="80"/>
      <c r="K1816" s="29">
        <f>SUM(I1816:J1816)</f>
        <v>0</v>
      </c>
      <c r="L1816" s="80"/>
      <c r="M1816" s="82"/>
    </row>
    <row r="1817" spans="1:13" s="79" customFormat="1" ht="13.5" customHeight="1" hidden="1">
      <c r="A1817" s="407"/>
      <c r="C1817" s="151"/>
      <c r="D1817" s="447" t="s">
        <v>38</v>
      </c>
      <c r="E1817" s="447"/>
      <c r="F1817" s="447"/>
      <c r="G1817" s="447"/>
      <c r="H1817" s="447"/>
      <c r="I1817" s="254">
        <f>SUM(I1818:I1823)</f>
        <v>0</v>
      </c>
      <c r="J1817" s="254">
        <f>SUM(J1818:J1823)</f>
        <v>0</v>
      </c>
      <c r="K1817" s="254">
        <f>SUM(K1818:K1823)</f>
        <v>0</v>
      </c>
      <c r="L1817" s="80"/>
      <c r="M1817" s="82"/>
    </row>
    <row r="1818" spans="1:13" s="79" customFormat="1" ht="13.5" customHeight="1" hidden="1">
      <c r="A1818" s="407"/>
      <c r="C1818" s="151"/>
      <c r="D1818" s="446" t="s">
        <v>289</v>
      </c>
      <c r="E1818" s="446"/>
      <c r="F1818" s="446"/>
      <c r="G1818" s="446"/>
      <c r="H1818" s="446"/>
      <c r="I1818" s="29"/>
      <c r="J1818" s="80"/>
      <c r="K1818" s="29">
        <f aca="true" t="shared" si="120" ref="K1818:K1823">SUM(I1818:J1818)</f>
        <v>0</v>
      </c>
      <c r="L1818" s="80"/>
      <c r="M1818" s="82"/>
    </row>
    <row r="1819" spans="1:13" s="79" customFormat="1" ht="13.5" customHeight="1" hidden="1">
      <c r="A1819" s="407"/>
      <c r="C1819" s="151"/>
      <c r="D1819" s="444" t="s">
        <v>8</v>
      </c>
      <c r="E1819" s="448"/>
      <c r="F1819" s="448"/>
      <c r="G1819" s="448"/>
      <c r="H1819" s="448"/>
      <c r="I1819" s="29"/>
      <c r="J1819" s="78"/>
      <c r="K1819" s="29">
        <f t="shared" si="120"/>
        <v>0</v>
      </c>
      <c r="L1819" s="80"/>
      <c r="M1819" s="82"/>
    </row>
    <row r="1820" spans="1:13" s="79" customFormat="1" ht="13.5" customHeight="1" hidden="1">
      <c r="A1820" s="407"/>
      <c r="C1820" s="151"/>
      <c r="D1820" s="444" t="s">
        <v>10</v>
      </c>
      <c r="E1820" s="444"/>
      <c r="F1820" s="444"/>
      <c r="G1820" s="444"/>
      <c r="H1820" s="444"/>
      <c r="I1820" s="29"/>
      <c r="J1820" s="78"/>
      <c r="K1820" s="29">
        <f t="shared" si="120"/>
        <v>0</v>
      </c>
      <c r="L1820" s="80"/>
      <c r="M1820" s="82"/>
    </row>
    <row r="1821" spans="1:12" s="82" customFormat="1" ht="13.5" customHeight="1" hidden="1">
      <c r="A1821" s="407"/>
      <c r="C1821" s="149"/>
      <c r="D1821" s="444" t="s">
        <v>9</v>
      </c>
      <c r="E1821" s="444"/>
      <c r="F1821" s="444"/>
      <c r="G1821" s="444"/>
      <c r="H1821" s="444"/>
      <c r="I1821" s="29"/>
      <c r="J1821" s="80"/>
      <c r="K1821" s="29">
        <f t="shared" si="120"/>
        <v>0</v>
      </c>
      <c r="L1821" s="80"/>
    </row>
    <row r="1822" spans="1:13" s="79" customFormat="1" ht="13.5" customHeight="1" hidden="1">
      <c r="A1822" s="407"/>
      <c r="C1822" s="151"/>
      <c r="D1822" s="444" t="s">
        <v>11</v>
      </c>
      <c r="E1822" s="444"/>
      <c r="F1822" s="444"/>
      <c r="G1822" s="444"/>
      <c r="H1822" s="444"/>
      <c r="I1822" s="29"/>
      <c r="J1822" s="78"/>
      <c r="K1822" s="29">
        <f t="shared" si="120"/>
        <v>0</v>
      </c>
      <c r="L1822" s="80"/>
      <c r="M1822" s="82"/>
    </row>
    <row r="1823" spans="1:12" s="82" customFormat="1" ht="13.5" customHeight="1" hidden="1">
      <c r="A1823" s="407"/>
      <c r="C1823" s="149"/>
      <c r="D1823" s="444" t="s">
        <v>12</v>
      </c>
      <c r="E1823" s="444"/>
      <c r="F1823" s="444"/>
      <c r="G1823" s="444"/>
      <c r="H1823" s="444"/>
      <c r="I1823" s="29"/>
      <c r="J1823" s="80"/>
      <c r="K1823" s="29">
        <f t="shared" si="120"/>
        <v>0</v>
      </c>
      <c r="L1823" s="80"/>
    </row>
    <row r="1824" spans="1:12" s="82" customFormat="1" ht="13.5" customHeight="1" hidden="1">
      <c r="A1824" s="407"/>
      <c r="C1824" s="149"/>
      <c r="D1824" s="445" t="s">
        <v>277</v>
      </c>
      <c r="E1824" s="445"/>
      <c r="F1824" s="445"/>
      <c r="G1824" s="445"/>
      <c r="H1824" s="445"/>
      <c r="I1824" s="77">
        <f>I1813-I1817</f>
        <v>0</v>
      </c>
      <c r="J1824" s="77">
        <f>J1813-J1817</f>
        <v>0</v>
      </c>
      <c r="K1824" s="77">
        <f>K1813-K1817</f>
        <v>0</v>
      </c>
      <c r="L1824" s="80"/>
    </row>
    <row r="1825" spans="1:12" s="82" customFormat="1" ht="13.5" customHeight="1" hidden="1">
      <c r="A1825" s="407"/>
      <c r="C1825" s="149"/>
      <c r="D1825" s="444" t="s">
        <v>279</v>
      </c>
      <c r="E1825" s="444"/>
      <c r="F1825" s="444"/>
      <c r="G1825" s="444"/>
      <c r="H1825" s="444"/>
      <c r="I1825" s="29">
        <f>I1826+I1827+I1828</f>
        <v>0</v>
      </c>
      <c r="J1825" s="29">
        <f>J1826+J1827+J1828</f>
        <v>0</v>
      </c>
      <c r="K1825" s="29">
        <f>K1826+K1827+K1828</f>
        <v>0</v>
      </c>
      <c r="L1825" s="80"/>
    </row>
    <row r="1826" spans="1:12" s="82" customFormat="1" ht="13.5" customHeight="1" hidden="1">
      <c r="A1826" s="407"/>
      <c r="C1826" s="149"/>
      <c r="D1826" s="444" t="s">
        <v>278</v>
      </c>
      <c r="E1826" s="444"/>
      <c r="F1826" s="444"/>
      <c r="G1826" s="444"/>
      <c r="H1826" s="444"/>
      <c r="I1826" s="29"/>
      <c r="J1826" s="77"/>
      <c r="K1826" s="80">
        <f>SUM(I1826:J1826)</f>
        <v>0</v>
      </c>
      <c r="L1826" s="80"/>
    </row>
    <row r="1827" spans="1:12" s="82" customFormat="1" ht="13.5" customHeight="1" hidden="1">
      <c r="A1827" s="407"/>
      <c r="C1827" s="149"/>
      <c r="D1827" s="444" t="s">
        <v>280</v>
      </c>
      <c r="E1827" s="444"/>
      <c r="F1827" s="444"/>
      <c r="G1827" s="444"/>
      <c r="H1827" s="444"/>
      <c r="I1827" s="29"/>
      <c r="J1827" s="77"/>
      <c r="K1827" s="80">
        <f>SUM(I1827:J1827)</f>
        <v>0</v>
      </c>
      <c r="L1827" s="80"/>
    </row>
    <row r="1828" spans="1:12" s="82" customFormat="1" ht="13.5" customHeight="1" hidden="1">
      <c r="A1828" s="407"/>
      <c r="C1828" s="149"/>
      <c r="D1828" s="444" t="s">
        <v>281</v>
      </c>
      <c r="E1828" s="444"/>
      <c r="F1828" s="444"/>
      <c r="G1828" s="444"/>
      <c r="H1828" s="444"/>
      <c r="I1828" s="29"/>
      <c r="J1828" s="77"/>
      <c r="K1828" s="80">
        <f>SUM(I1828:J1828)</f>
        <v>0</v>
      </c>
      <c r="L1828" s="80"/>
    </row>
    <row r="1829" spans="1:12" s="95" customFormat="1" ht="7.5" customHeight="1">
      <c r="A1829" s="407"/>
      <c r="C1829" s="162"/>
      <c r="D1829" s="90"/>
      <c r="E1829" s="90"/>
      <c r="F1829" s="90"/>
      <c r="G1829" s="90"/>
      <c r="H1829" s="90"/>
      <c r="I1829" s="106"/>
      <c r="J1829" s="80"/>
      <c r="K1829" s="80"/>
      <c r="L1829" s="127"/>
    </row>
    <row r="1830" spans="1:12" s="95" customFormat="1" ht="13.5" customHeight="1">
      <c r="A1830" s="407"/>
      <c r="C1830" s="153" t="s">
        <v>107</v>
      </c>
      <c r="D1830" s="449" t="s">
        <v>268</v>
      </c>
      <c r="E1830" s="449"/>
      <c r="F1830" s="449"/>
      <c r="G1830" s="449"/>
      <c r="H1830" s="449"/>
      <c r="I1830" s="129"/>
      <c r="J1830" s="127"/>
      <c r="K1830" s="127"/>
      <c r="L1830" s="127"/>
    </row>
    <row r="1831" spans="1:12" s="82" customFormat="1" ht="13.5" customHeight="1">
      <c r="A1831" s="407"/>
      <c r="C1831" s="149"/>
      <c r="D1831" s="447" t="s">
        <v>37</v>
      </c>
      <c r="E1831" s="447"/>
      <c r="F1831" s="447"/>
      <c r="G1831" s="447"/>
      <c r="H1831" s="447"/>
      <c r="I1831" s="77">
        <f>SUM(I1832:I1834)</f>
        <v>77762</v>
      </c>
      <c r="J1831" s="77">
        <f>SUM(J1832:J1834)</f>
        <v>5566</v>
      </c>
      <c r="K1831" s="77">
        <f>SUM(K1832:K1834)</f>
        <v>83328</v>
      </c>
      <c r="L1831" s="80"/>
    </row>
    <row r="1832" spans="1:12" s="82" customFormat="1" ht="13.5" customHeight="1">
      <c r="A1832" s="407"/>
      <c r="C1832" s="149"/>
      <c r="D1832" s="446" t="s">
        <v>5</v>
      </c>
      <c r="E1832" s="446"/>
      <c r="F1832" s="446"/>
      <c r="G1832" s="446"/>
      <c r="H1832" s="446"/>
      <c r="I1832" s="29">
        <f>76831+4468-3537</f>
        <v>77762</v>
      </c>
      <c r="J1832" s="80">
        <f>5566</f>
        <v>5566</v>
      </c>
      <c r="K1832" s="80">
        <f>SUM(I1832:J1832)</f>
        <v>83328</v>
      </c>
      <c r="L1832" s="80"/>
    </row>
    <row r="1833" spans="1:12" s="82" customFormat="1" ht="13.5" customHeight="1" hidden="1">
      <c r="A1833" s="407"/>
      <c r="C1833" s="149"/>
      <c r="D1833" s="446" t="s">
        <v>6</v>
      </c>
      <c r="E1833" s="446"/>
      <c r="F1833" s="446"/>
      <c r="G1833" s="446"/>
      <c r="H1833" s="446"/>
      <c r="I1833" s="29"/>
      <c r="J1833" s="80"/>
      <c r="K1833" s="80">
        <f>SUM(I1833:J1833)</f>
        <v>0</v>
      </c>
      <c r="L1833" s="80"/>
    </row>
    <row r="1834" spans="1:12" s="82" customFormat="1" ht="13.5" customHeight="1" hidden="1">
      <c r="A1834" s="407"/>
      <c r="C1834" s="149"/>
      <c r="D1834" s="446" t="s">
        <v>7</v>
      </c>
      <c r="E1834" s="446"/>
      <c r="F1834" s="446"/>
      <c r="G1834" s="446"/>
      <c r="H1834" s="446"/>
      <c r="I1834" s="29"/>
      <c r="J1834" s="80"/>
      <c r="K1834" s="80">
        <f>SUM(I1834:J1834)</f>
        <v>0</v>
      </c>
      <c r="L1834" s="80"/>
    </row>
    <row r="1835" spans="1:12" s="82" customFormat="1" ht="13.5" customHeight="1">
      <c r="A1835" s="407"/>
      <c r="C1835" s="149"/>
      <c r="D1835" s="447" t="s">
        <v>38</v>
      </c>
      <c r="E1835" s="447"/>
      <c r="F1835" s="447"/>
      <c r="G1835" s="447"/>
      <c r="H1835" s="447"/>
      <c r="I1835" s="254">
        <f>SUM(I1836:I1841)</f>
        <v>77762</v>
      </c>
      <c r="J1835" s="254">
        <f>SUM(J1836:J1841)</f>
        <v>5566</v>
      </c>
      <c r="K1835" s="254">
        <f>SUM(K1836:K1841)</f>
        <v>83328</v>
      </c>
      <c r="L1835" s="80"/>
    </row>
    <row r="1836" spans="1:12" s="82" customFormat="1" ht="13.5" customHeight="1">
      <c r="A1836" s="407"/>
      <c r="C1836" s="149"/>
      <c r="D1836" s="446" t="s">
        <v>289</v>
      </c>
      <c r="E1836" s="446"/>
      <c r="F1836" s="446"/>
      <c r="G1836" s="446"/>
      <c r="H1836" s="446"/>
      <c r="I1836" s="29">
        <f>68698+4468-3537</f>
        <v>69629</v>
      </c>
      <c r="J1836" s="80">
        <f>5566</f>
        <v>5566</v>
      </c>
      <c r="K1836" s="80">
        <f aca="true" t="shared" si="121" ref="K1836:K1841">SUM(I1836:J1836)</f>
        <v>75195</v>
      </c>
      <c r="L1836" s="80"/>
    </row>
    <row r="1837" spans="1:12" s="82" customFormat="1" ht="12.75" customHeight="1">
      <c r="A1837" s="407"/>
      <c r="C1837" s="149"/>
      <c r="D1837" s="444" t="s">
        <v>8</v>
      </c>
      <c r="E1837" s="448"/>
      <c r="F1837" s="448"/>
      <c r="G1837" s="448"/>
      <c r="H1837" s="448"/>
      <c r="I1837" s="29">
        <v>8133</v>
      </c>
      <c r="J1837" s="80"/>
      <c r="K1837" s="80">
        <f t="shared" si="121"/>
        <v>8133</v>
      </c>
      <c r="L1837" s="80"/>
    </row>
    <row r="1838" spans="1:12" s="82" customFormat="1" ht="13.5" customHeight="1" hidden="1">
      <c r="A1838" s="407"/>
      <c r="C1838" s="149"/>
      <c r="D1838" s="444" t="s">
        <v>10</v>
      </c>
      <c r="E1838" s="444"/>
      <c r="F1838" s="444"/>
      <c r="G1838" s="444"/>
      <c r="H1838" s="444"/>
      <c r="I1838" s="29"/>
      <c r="J1838" s="80"/>
      <c r="K1838" s="80">
        <f t="shared" si="121"/>
        <v>0</v>
      </c>
      <c r="L1838" s="80"/>
    </row>
    <row r="1839" spans="1:13" s="79" customFormat="1" ht="13.5" customHeight="1" hidden="1">
      <c r="A1839" s="407"/>
      <c r="C1839" s="151"/>
      <c r="D1839" s="444" t="s">
        <v>9</v>
      </c>
      <c r="E1839" s="444"/>
      <c r="F1839" s="444"/>
      <c r="G1839" s="444"/>
      <c r="H1839" s="444"/>
      <c r="I1839" s="29"/>
      <c r="J1839" s="77"/>
      <c r="K1839" s="80">
        <f t="shared" si="121"/>
        <v>0</v>
      </c>
      <c r="L1839" s="80"/>
      <c r="M1839" s="82"/>
    </row>
    <row r="1840" spans="1:12" s="82" customFormat="1" ht="13.5" customHeight="1" hidden="1">
      <c r="A1840" s="407"/>
      <c r="C1840" s="149"/>
      <c r="D1840" s="444" t="s">
        <v>11</v>
      </c>
      <c r="E1840" s="444"/>
      <c r="F1840" s="444"/>
      <c r="G1840" s="444"/>
      <c r="H1840" s="444"/>
      <c r="I1840" s="29"/>
      <c r="J1840" s="80"/>
      <c r="K1840" s="80">
        <f t="shared" si="121"/>
        <v>0</v>
      </c>
      <c r="L1840" s="80"/>
    </row>
    <row r="1841" spans="1:13" s="79" customFormat="1" ht="13.5" customHeight="1" hidden="1">
      <c r="A1841" s="407"/>
      <c r="C1841" s="151"/>
      <c r="D1841" s="444" t="s">
        <v>12</v>
      </c>
      <c r="E1841" s="444"/>
      <c r="F1841" s="444"/>
      <c r="G1841" s="444"/>
      <c r="H1841" s="444"/>
      <c r="I1841" s="29"/>
      <c r="J1841" s="77"/>
      <c r="K1841" s="80">
        <f t="shared" si="121"/>
        <v>0</v>
      </c>
      <c r="L1841" s="80"/>
      <c r="M1841" s="82"/>
    </row>
    <row r="1842" spans="1:13" s="79" customFormat="1" ht="13.5" customHeight="1">
      <c r="A1842" s="407"/>
      <c r="C1842" s="151"/>
      <c r="D1842" s="445" t="s">
        <v>277</v>
      </c>
      <c r="E1842" s="445"/>
      <c r="F1842" s="445"/>
      <c r="G1842" s="445"/>
      <c r="H1842" s="445"/>
      <c r="I1842" s="77">
        <f>I1831-I1835</f>
        <v>0</v>
      </c>
      <c r="J1842" s="77">
        <f>J1831-J1835</f>
        <v>0</v>
      </c>
      <c r="K1842" s="77">
        <f>K1831-K1835</f>
        <v>0</v>
      </c>
      <c r="L1842" s="80"/>
      <c r="M1842" s="82"/>
    </row>
    <row r="1843" spans="1:13" s="79" customFormat="1" ht="12.75" customHeight="1">
      <c r="A1843" s="407"/>
      <c r="C1843" s="151"/>
      <c r="D1843" s="444" t="s">
        <v>279</v>
      </c>
      <c r="E1843" s="444"/>
      <c r="F1843" s="444"/>
      <c r="G1843" s="444"/>
      <c r="H1843" s="444"/>
      <c r="I1843" s="29">
        <f>I1844+I1845+I1846</f>
        <v>0</v>
      </c>
      <c r="J1843" s="29">
        <f>J1844+J1845+J1846</f>
        <v>0</v>
      </c>
      <c r="K1843" s="29">
        <f>K1844+K1845+K1846</f>
        <v>0</v>
      </c>
      <c r="L1843" s="80"/>
      <c r="M1843" s="82"/>
    </row>
    <row r="1844" spans="1:13" s="79" customFormat="1" ht="13.5" customHeight="1" hidden="1">
      <c r="A1844" s="407"/>
      <c r="C1844" s="151"/>
      <c r="D1844" s="444" t="s">
        <v>278</v>
      </c>
      <c r="E1844" s="444"/>
      <c r="F1844" s="444"/>
      <c r="G1844" s="444"/>
      <c r="H1844" s="444"/>
      <c r="I1844" s="29"/>
      <c r="J1844" s="77"/>
      <c r="K1844" s="80">
        <f>SUM(I1844:J1844)</f>
        <v>0</v>
      </c>
      <c r="L1844" s="80"/>
      <c r="M1844" s="82"/>
    </row>
    <row r="1845" spans="1:13" s="79" customFormat="1" ht="13.5" customHeight="1" hidden="1">
      <c r="A1845" s="407"/>
      <c r="C1845" s="151"/>
      <c r="D1845" s="444" t="s">
        <v>280</v>
      </c>
      <c r="E1845" s="444"/>
      <c r="F1845" s="444"/>
      <c r="G1845" s="444"/>
      <c r="H1845" s="444"/>
      <c r="I1845" s="29"/>
      <c r="J1845" s="77"/>
      <c r="K1845" s="80">
        <f>SUM(I1845:J1845)</f>
        <v>0</v>
      </c>
      <c r="L1845" s="80"/>
      <c r="M1845" s="82"/>
    </row>
    <row r="1846" spans="1:13" s="79" customFormat="1" ht="13.5" customHeight="1" hidden="1">
      <c r="A1846" s="407"/>
      <c r="C1846" s="151"/>
      <c r="D1846" s="444" t="s">
        <v>281</v>
      </c>
      <c r="E1846" s="444"/>
      <c r="F1846" s="444"/>
      <c r="G1846" s="444"/>
      <c r="H1846" s="444"/>
      <c r="I1846" s="29"/>
      <c r="J1846" s="77"/>
      <c r="K1846" s="80">
        <f>SUM(I1846:J1846)</f>
        <v>0</v>
      </c>
      <c r="L1846" s="80"/>
      <c r="M1846" s="82"/>
    </row>
    <row r="1847" spans="1:13" s="79" customFormat="1" ht="7.5" customHeight="1">
      <c r="A1847" s="407"/>
      <c r="C1847" s="151"/>
      <c r="D1847" s="85"/>
      <c r="E1847" s="85"/>
      <c r="F1847" s="85"/>
      <c r="G1847" s="85"/>
      <c r="H1847" s="85"/>
      <c r="I1847" s="29"/>
      <c r="J1847" s="77"/>
      <c r="K1847" s="77"/>
      <c r="L1847" s="80"/>
      <c r="M1847" s="82"/>
    </row>
    <row r="1848" spans="1:12" s="82" customFormat="1" ht="1.5" customHeight="1" hidden="1">
      <c r="A1848" s="407"/>
      <c r="C1848" s="162"/>
      <c r="D1848" s="90"/>
      <c r="E1848" s="90"/>
      <c r="F1848" s="90"/>
      <c r="G1848" s="90"/>
      <c r="H1848" s="90"/>
      <c r="I1848" s="106"/>
      <c r="J1848" s="80"/>
      <c r="K1848" s="80"/>
      <c r="L1848" s="80"/>
    </row>
    <row r="1849" spans="1:13" s="15" customFormat="1" ht="13.5" customHeight="1">
      <c r="A1849" s="407"/>
      <c r="C1849" s="142" t="s">
        <v>60</v>
      </c>
      <c r="D1849" s="450" t="s">
        <v>61</v>
      </c>
      <c r="E1849" s="450"/>
      <c r="F1849" s="450"/>
      <c r="G1849" s="450"/>
      <c r="H1849" s="450"/>
      <c r="I1849" s="17"/>
      <c r="J1849" s="126"/>
      <c r="K1849" s="126"/>
      <c r="L1849" s="127"/>
      <c r="M1849" s="95"/>
    </row>
    <row r="1850" spans="1:13" s="15" customFormat="1" ht="13.5" customHeight="1">
      <c r="A1850" s="407"/>
      <c r="C1850" s="154"/>
      <c r="D1850" s="447" t="s">
        <v>37</v>
      </c>
      <c r="E1850" s="447"/>
      <c r="F1850" s="447"/>
      <c r="G1850" s="447"/>
      <c r="H1850" s="447"/>
      <c r="I1850" s="77">
        <f>SUM(I1851:I1853)</f>
        <v>80220</v>
      </c>
      <c r="J1850" s="77">
        <f>SUM(J1851:J1853)</f>
        <v>0</v>
      </c>
      <c r="K1850" s="77">
        <f>SUM(K1851:K1853)</f>
        <v>80220</v>
      </c>
      <c r="L1850" s="127"/>
      <c r="M1850" s="95"/>
    </row>
    <row r="1851" spans="1:13" s="15" customFormat="1" ht="13.5" customHeight="1">
      <c r="A1851" s="407"/>
      <c r="C1851" s="154"/>
      <c r="D1851" s="446" t="s">
        <v>5</v>
      </c>
      <c r="E1851" s="446"/>
      <c r="F1851" s="446"/>
      <c r="G1851" s="446"/>
      <c r="H1851" s="446"/>
      <c r="I1851" s="29">
        <f aca="true" t="shared" si="122" ref="I1851:K1853">I1869+I1887+I1905</f>
        <v>51925</v>
      </c>
      <c r="J1851" s="29">
        <f t="shared" si="122"/>
        <v>0</v>
      </c>
      <c r="K1851" s="29">
        <f t="shared" si="122"/>
        <v>51925</v>
      </c>
      <c r="L1851" s="127"/>
      <c r="M1851" s="95"/>
    </row>
    <row r="1852" spans="1:13" s="15" customFormat="1" ht="13.5" customHeight="1">
      <c r="A1852" s="407"/>
      <c r="C1852" s="154"/>
      <c r="D1852" s="446" t="s">
        <v>6</v>
      </c>
      <c r="E1852" s="446"/>
      <c r="F1852" s="446"/>
      <c r="G1852" s="446"/>
      <c r="H1852" s="446"/>
      <c r="I1852" s="29">
        <f t="shared" si="122"/>
        <v>28295</v>
      </c>
      <c r="J1852" s="29">
        <f t="shared" si="122"/>
        <v>0</v>
      </c>
      <c r="K1852" s="29">
        <f t="shared" si="122"/>
        <v>28295</v>
      </c>
      <c r="L1852" s="127"/>
      <c r="M1852" s="95"/>
    </row>
    <row r="1853" spans="1:13" s="15" customFormat="1" ht="13.5" customHeight="1" hidden="1">
      <c r="A1853" s="407"/>
      <c r="C1853" s="154"/>
      <c r="D1853" s="446" t="s">
        <v>7</v>
      </c>
      <c r="E1853" s="446"/>
      <c r="F1853" s="446"/>
      <c r="G1853" s="446"/>
      <c r="H1853" s="446"/>
      <c r="I1853" s="29">
        <f t="shared" si="122"/>
        <v>0</v>
      </c>
      <c r="J1853" s="29">
        <f t="shared" si="122"/>
        <v>0</v>
      </c>
      <c r="K1853" s="29">
        <f t="shared" si="122"/>
        <v>0</v>
      </c>
      <c r="L1853" s="127"/>
      <c r="M1853" s="95"/>
    </row>
    <row r="1854" spans="1:13" s="15" customFormat="1" ht="13.5" customHeight="1">
      <c r="A1854" s="407"/>
      <c r="C1854" s="154"/>
      <c r="D1854" s="447" t="s">
        <v>38</v>
      </c>
      <c r="E1854" s="447"/>
      <c r="F1854" s="447"/>
      <c r="G1854" s="447"/>
      <c r="H1854" s="447"/>
      <c r="I1854" s="253">
        <f>SUM(I1855:I1860)</f>
        <v>80220</v>
      </c>
      <c r="J1854" s="253">
        <f>SUM(J1855:J1860)</f>
        <v>0</v>
      </c>
      <c r="K1854" s="253">
        <f>SUM(K1855:K1860)</f>
        <v>80220</v>
      </c>
      <c r="L1854" s="127"/>
      <c r="M1854" s="95"/>
    </row>
    <row r="1855" spans="1:13" s="15" customFormat="1" ht="13.5" customHeight="1">
      <c r="A1855" s="407"/>
      <c r="C1855" s="154"/>
      <c r="D1855" s="446" t="s">
        <v>289</v>
      </c>
      <c r="E1855" s="446"/>
      <c r="F1855" s="446"/>
      <c r="G1855" s="446"/>
      <c r="H1855" s="446"/>
      <c r="I1855" s="29">
        <f aca="true" t="shared" si="123" ref="I1855:K1860">I1873+I1891+I1909</f>
        <v>37499</v>
      </c>
      <c r="J1855" s="29">
        <f t="shared" si="123"/>
        <v>0</v>
      </c>
      <c r="K1855" s="29">
        <f t="shared" si="123"/>
        <v>37499</v>
      </c>
      <c r="L1855" s="127"/>
      <c r="M1855" s="95"/>
    </row>
    <row r="1856" spans="1:13" s="15" customFormat="1" ht="12.75" customHeight="1">
      <c r="A1856" s="407"/>
      <c r="C1856" s="154"/>
      <c r="D1856" s="444" t="s">
        <v>8</v>
      </c>
      <c r="E1856" s="448"/>
      <c r="F1856" s="448"/>
      <c r="G1856" s="448"/>
      <c r="H1856" s="448"/>
      <c r="I1856" s="29">
        <f t="shared" si="123"/>
        <v>42721</v>
      </c>
      <c r="J1856" s="29">
        <f t="shared" si="123"/>
        <v>0</v>
      </c>
      <c r="K1856" s="29">
        <f t="shared" si="123"/>
        <v>42721</v>
      </c>
      <c r="L1856" s="127"/>
      <c r="M1856" s="95"/>
    </row>
    <row r="1857" spans="1:13" s="15" customFormat="1" ht="13.5" customHeight="1" hidden="1">
      <c r="A1857" s="407"/>
      <c r="C1857" s="154"/>
      <c r="D1857" s="444" t="s">
        <v>10</v>
      </c>
      <c r="E1857" s="444"/>
      <c r="F1857" s="444"/>
      <c r="G1857" s="444"/>
      <c r="H1857" s="444"/>
      <c r="I1857" s="29">
        <f t="shared" si="123"/>
        <v>0</v>
      </c>
      <c r="J1857" s="29">
        <f t="shared" si="123"/>
        <v>0</v>
      </c>
      <c r="K1857" s="29">
        <f t="shared" si="123"/>
        <v>0</v>
      </c>
      <c r="L1857" s="127"/>
      <c r="M1857" s="95"/>
    </row>
    <row r="1858" spans="1:13" s="15" customFormat="1" ht="13.5" customHeight="1" hidden="1">
      <c r="A1858" s="407"/>
      <c r="C1858" s="154"/>
      <c r="D1858" s="444" t="s">
        <v>9</v>
      </c>
      <c r="E1858" s="444"/>
      <c r="F1858" s="444"/>
      <c r="G1858" s="444"/>
      <c r="H1858" s="444"/>
      <c r="I1858" s="29">
        <f t="shared" si="123"/>
        <v>0</v>
      </c>
      <c r="J1858" s="29">
        <f t="shared" si="123"/>
        <v>0</v>
      </c>
      <c r="K1858" s="29">
        <f t="shared" si="123"/>
        <v>0</v>
      </c>
      <c r="L1858" s="127"/>
      <c r="M1858" s="95"/>
    </row>
    <row r="1859" spans="1:13" s="15" customFormat="1" ht="13.5" customHeight="1" hidden="1">
      <c r="A1859" s="407"/>
      <c r="C1859" s="154"/>
      <c r="D1859" s="444" t="s">
        <v>11</v>
      </c>
      <c r="E1859" s="444"/>
      <c r="F1859" s="444"/>
      <c r="G1859" s="444"/>
      <c r="H1859" s="444"/>
      <c r="I1859" s="29">
        <f t="shared" si="123"/>
        <v>0</v>
      </c>
      <c r="J1859" s="29">
        <f t="shared" si="123"/>
        <v>0</v>
      </c>
      <c r="K1859" s="29">
        <f t="shared" si="123"/>
        <v>0</v>
      </c>
      <c r="L1859" s="127"/>
      <c r="M1859" s="95"/>
    </row>
    <row r="1860" spans="1:13" s="79" customFormat="1" ht="13.5" customHeight="1" hidden="1">
      <c r="A1860" s="407"/>
      <c r="C1860" s="151"/>
      <c r="D1860" s="444" t="s">
        <v>12</v>
      </c>
      <c r="E1860" s="444"/>
      <c r="F1860" s="444"/>
      <c r="G1860" s="444"/>
      <c r="H1860" s="444"/>
      <c r="I1860" s="29">
        <f t="shared" si="123"/>
        <v>0</v>
      </c>
      <c r="J1860" s="29">
        <f t="shared" si="123"/>
        <v>0</v>
      </c>
      <c r="K1860" s="29">
        <f t="shared" si="123"/>
        <v>0</v>
      </c>
      <c r="L1860" s="80"/>
      <c r="M1860" s="82"/>
    </row>
    <row r="1861" spans="1:13" s="79" customFormat="1" ht="13.5" customHeight="1">
      <c r="A1861" s="407"/>
      <c r="C1861" s="151"/>
      <c r="D1861" s="445" t="s">
        <v>277</v>
      </c>
      <c r="E1861" s="445"/>
      <c r="F1861" s="445"/>
      <c r="G1861" s="445"/>
      <c r="H1861" s="445"/>
      <c r="I1861" s="77">
        <f>I1850-I1854</f>
        <v>0</v>
      </c>
      <c r="J1861" s="77">
        <f>J1850-J1854</f>
        <v>0</v>
      </c>
      <c r="K1861" s="77">
        <f>K1850-K1854</f>
        <v>0</v>
      </c>
      <c r="L1861" s="80"/>
      <c r="M1861" s="82"/>
    </row>
    <row r="1862" spans="1:13" s="79" customFormat="1" ht="12" customHeight="1">
      <c r="A1862" s="407"/>
      <c r="C1862" s="151"/>
      <c r="D1862" s="444" t="s">
        <v>279</v>
      </c>
      <c r="E1862" s="444"/>
      <c r="F1862" s="444"/>
      <c r="G1862" s="444"/>
      <c r="H1862" s="444"/>
      <c r="I1862" s="29">
        <f>I1863+I1864+I1865</f>
        <v>0</v>
      </c>
      <c r="J1862" s="29">
        <f>J1863+J1864+J1865</f>
        <v>0</v>
      </c>
      <c r="K1862" s="29">
        <f>K1863+K1864+K1865</f>
        <v>0</v>
      </c>
      <c r="L1862" s="80"/>
      <c r="M1862" s="82"/>
    </row>
    <row r="1863" spans="1:13" s="79" customFormat="1" ht="13.5" customHeight="1" hidden="1">
      <c r="A1863" s="407"/>
      <c r="C1863" s="151"/>
      <c r="D1863" s="444" t="s">
        <v>278</v>
      </c>
      <c r="E1863" s="444"/>
      <c r="F1863" s="444"/>
      <c r="G1863" s="444"/>
      <c r="H1863" s="444"/>
      <c r="I1863" s="29">
        <f aca="true" t="shared" si="124" ref="I1863:K1865">I1881+I1899+I1917</f>
        <v>0</v>
      </c>
      <c r="J1863" s="29">
        <f t="shared" si="124"/>
        <v>0</v>
      </c>
      <c r="K1863" s="29">
        <f t="shared" si="124"/>
        <v>0</v>
      </c>
      <c r="L1863" s="80"/>
      <c r="M1863" s="82"/>
    </row>
    <row r="1864" spans="1:13" s="79" customFormat="1" ht="13.5" customHeight="1" hidden="1">
      <c r="A1864" s="407"/>
      <c r="C1864" s="151"/>
      <c r="D1864" s="444" t="s">
        <v>280</v>
      </c>
      <c r="E1864" s="444"/>
      <c r="F1864" s="444"/>
      <c r="G1864" s="444"/>
      <c r="H1864" s="444"/>
      <c r="I1864" s="29">
        <f t="shared" si="124"/>
        <v>0</v>
      </c>
      <c r="J1864" s="29">
        <f t="shared" si="124"/>
        <v>0</v>
      </c>
      <c r="K1864" s="29">
        <f t="shared" si="124"/>
        <v>0</v>
      </c>
      <c r="L1864" s="80"/>
      <c r="M1864" s="82"/>
    </row>
    <row r="1865" spans="1:13" s="79" customFormat="1" ht="13.5" customHeight="1" hidden="1">
      <c r="A1865" s="407"/>
      <c r="C1865" s="151"/>
      <c r="D1865" s="444" t="s">
        <v>281</v>
      </c>
      <c r="E1865" s="444"/>
      <c r="F1865" s="444"/>
      <c r="G1865" s="444"/>
      <c r="H1865" s="444"/>
      <c r="I1865" s="29">
        <f t="shared" si="124"/>
        <v>0</v>
      </c>
      <c r="J1865" s="29">
        <f t="shared" si="124"/>
        <v>0</v>
      </c>
      <c r="K1865" s="29">
        <f t="shared" si="124"/>
        <v>0</v>
      </c>
      <c r="L1865" s="80"/>
      <c r="M1865" s="82"/>
    </row>
    <row r="1866" spans="1:12" s="82" customFormat="1" ht="8.25" customHeight="1">
      <c r="A1866" s="407"/>
      <c r="C1866" s="149"/>
      <c r="D1866" s="81"/>
      <c r="E1866" s="81"/>
      <c r="F1866" s="81"/>
      <c r="G1866" s="81"/>
      <c r="H1866" s="81"/>
      <c r="I1866" s="29"/>
      <c r="J1866" s="80"/>
      <c r="K1866" s="80"/>
      <c r="L1866" s="80"/>
    </row>
    <row r="1867" spans="1:12" s="95" customFormat="1" ht="13.5" customHeight="1">
      <c r="A1867" s="407"/>
      <c r="C1867" s="153" t="s">
        <v>107</v>
      </c>
      <c r="D1867" s="449" t="s">
        <v>269</v>
      </c>
      <c r="E1867" s="449"/>
      <c r="F1867" s="449"/>
      <c r="G1867" s="449"/>
      <c r="H1867" s="449"/>
      <c r="I1867" s="129"/>
      <c r="J1867" s="127"/>
      <c r="K1867" s="127"/>
      <c r="L1867" s="127"/>
    </row>
    <row r="1868" spans="1:12" s="82" customFormat="1" ht="13.5" customHeight="1">
      <c r="A1868" s="407"/>
      <c r="C1868" s="149"/>
      <c r="D1868" s="447" t="s">
        <v>37</v>
      </c>
      <c r="E1868" s="447"/>
      <c r="F1868" s="447"/>
      <c r="G1868" s="447"/>
      <c r="H1868" s="447"/>
      <c r="I1868" s="77">
        <f>SUM(I1869:I1871)</f>
        <v>15150</v>
      </c>
      <c r="J1868" s="77">
        <f>SUM(J1869:J1871)</f>
        <v>0</v>
      </c>
      <c r="K1868" s="77">
        <f>SUM(K1869:K1871)</f>
        <v>15150</v>
      </c>
      <c r="L1868" s="80"/>
    </row>
    <row r="1869" spans="1:12" s="82" customFormat="1" ht="13.5" customHeight="1">
      <c r="A1869" s="407"/>
      <c r="C1869" s="149"/>
      <c r="D1869" s="446" t="s">
        <v>5</v>
      </c>
      <c r="E1869" s="446"/>
      <c r="F1869" s="446"/>
      <c r="G1869" s="446"/>
      <c r="H1869" s="446"/>
      <c r="I1869" s="29">
        <f>26338-11188</f>
        <v>15150</v>
      </c>
      <c r="J1869" s="80"/>
      <c r="K1869" s="80">
        <f>SUM(I1869:J1869)</f>
        <v>15150</v>
      </c>
      <c r="L1869" s="80"/>
    </row>
    <row r="1870" spans="1:12" s="82" customFormat="1" ht="13.5" customHeight="1" hidden="1">
      <c r="A1870" s="407"/>
      <c r="C1870" s="149"/>
      <c r="D1870" s="446" t="s">
        <v>6</v>
      </c>
      <c r="E1870" s="446"/>
      <c r="F1870" s="446"/>
      <c r="G1870" s="446"/>
      <c r="H1870" s="446"/>
      <c r="I1870" s="29"/>
      <c r="J1870" s="80"/>
      <c r="K1870" s="80">
        <f>SUM(I1870:J1870)</f>
        <v>0</v>
      </c>
      <c r="L1870" s="80"/>
    </row>
    <row r="1871" spans="1:12" s="82" customFormat="1" ht="13.5" customHeight="1" hidden="1">
      <c r="A1871" s="407"/>
      <c r="C1871" s="149"/>
      <c r="D1871" s="446" t="s">
        <v>7</v>
      </c>
      <c r="E1871" s="446"/>
      <c r="F1871" s="446"/>
      <c r="G1871" s="446"/>
      <c r="H1871" s="446"/>
      <c r="I1871" s="29"/>
      <c r="J1871" s="80"/>
      <c r="K1871" s="80">
        <f>SUM(I1871:J1871)</f>
        <v>0</v>
      </c>
      <c r="L1871" s="80"/>
    </row>
    <row r="1872" spans="1:12" s="82" customFormat="1" ht="13.5" customHeight="1">
      <c r="A1872" s="407"/>
      <c r="C1872" s="149"/>
      <c r="D1872" s="447" t="s">
        <v>38</v>
      </c>
      <c r="E1872" s="447"/>
      <c r="F1872" s="447"/>
      <c r="G1872" s="447"/>
      <c r="H1872" s="447"/>
      <c r="I1872" s="254">
        <f>SUM(I1873:I1878)</f>
        <v>15150</v>
      </c>
      <c r="J1872" s="254">
        <f>SUM(J1873:J1878)</f>
        <v>0</v>
      </c>
      <c r="K1872" s="254">
        <f>SUM(K1873:K1878)</f>
        <v>15150</v>
      </c>
      <c r="L1872" s="80"/>
    </row>
    <row r="1873" spans="1:12" s="82" customFormat="1" ht="13.5" customHeight="1">
      <c r="A1873" s="407"/>
      <c r="C1873" s="149"/>
      <c r="D1873" s="446" t="s">
        <v>289</v>
      </c>
      <c r="E1873" s="446"/>
      <c r="F1873" s="446"/>
      <c r="G1873" s="446"/>
      <c r="H1873" s="446"/>
      <c r="I1873" s="29">
        <f>23764-9681</f>
        <v>14083</v>
      </c>
      <c r="J1873" s="80"/>
      <c r="K1873" s="80">
        <f aca="true" t="shared" si="125" ref="K1873:K1878">SUM(I1873:J1873)</f>
        <v>14083</v>
      </c>
      <c r="L1873" s="80"/>
    </row>
    <row r="1874" spans="1:13" s="79" customFormat="1" ht="12.75" customHeight="1">
      <c r="A1874" s="407"/>
      <c r="C1874" s="151"/>
      <c r="D1874" s="444" t="s">
        <v>8</v>
      </c>
      <c r="E1874" s="448"/>
      <c r="F1874" s="448"/>
      <c r="G1874" s="448"/>
      <c r="H1874" s="448"/>
      <c r="I1874" s="29">
        <f>2574-1507</f>
        <v>1067</v>
      </c>
      <c r="J1874" s="80"/>
      <c r="K1874" s="80">
        <f t="shared" si="125"/>
        <v>1067</v>
      </c>
      <c r="L1874" s="80"/>
      <c r="M1874" s="82"/>
    </row>
    <row r="1875" spans="1:12" s="82" customFormat="1" ht="13.5" customHeight="1" hidden="1">
      <c r="A1875" s="407"/>
      <c r="C1875" s="149"/>
      <c r="D1875" s="444" t="s">
        <v>10</v>
      </c>
      <c r="E1875" s="444"/>
      <c r="F1875" s="444"/>
      <c r="G1875" s="444"/>
      <c r="H1875" s="444"/>
      <c r="I1875" s="29"/>
      <c r="J1875" s="80"/>
      <c r="K1875" s="80">
        <f t="shared" si="125"/>
        <v>0</v>
      </c>
      <c r="L1875" s="80"/>
    </row>
    <row r="1876" spans="1:13" s="79" customFormat="1" ht="13.5" customHeight="1" hidden="1">
      <c r="A1876" s="407"/>
      <c r="C1876" s="151"/>
      <c r="D1876" s="444" t="s">
        <v>9</v>
      </c>
      <c r="E1876" s="444"/>
      <c r="F1876" s="444"/>
      <c r="G1876" s="444"/>
      <c r="H1876" s="444"/>
      <c r="I1876" s="29"/>
      <c r="J1876" s="78"/>
      <c r="K1876" s="80">
        <f t="shared" si="125"/>
        <v>0</v>
      </c>
      <c r="L1876" s="80"/>
      <c r="M1876" s="82"/>
    </row>
    <row r="1877" spans="1:12" s="82" customFormat="1" ht="13.5" customHeight="1" hidden="1">
      <c r="A1877" s="407"/>
      <c r="C1877" s="149"/>
      <c r="D1877" s="444" t="s">
        <v>11</v>
      </c>
      <c r="E1877" s="444"/>
      <c r="F1877" s="444"/>
      <c r="G1877" s="444"/>
      <c r="H1877" s="444"/>
      <c r="I1877" s="29"/>
      <c r="J1877" s="80"/>
      <c r="K1877" s="80">
        <f t="shared" si="125"/>
        <v>0</v>
      </c>
      <c r="L1877" s="80"/>
    </row>
    <row r="1878" spans="1:12" s="33" customFormat="1" ht="13.5" customHeight="1" hidden="1">
      <c r="A1878" s="410"/>
      <c r="C1878" s="152"/>
      <c r="D1878" s="444" t="s">
        <v>12</v>
      </c>
      <c r="E1878" s="444"/>
      <c r="F1878" s="444"/>
      <c r="G1878" s="444"/>
      <c r="H1878" s="444"/>
      <c r="I1878" s="29"/>
      <c r="J1878" s="80"/>
      <c r="K1878" s="80">
        <f t="shared" si="125"/>
        <v>0</v>
      </c>
      <c r="L1878" s="175"/>
    </row>
    <row r="1879" spans="1:12" s="33" customFormat="1" ht="13.5" customHeight="1">
      <c r="A1879" s="410"/>
      <c r="C1879" s="152"/>
      <c r="D1879" s="445" t="s">
        <v>277</v>
      </c>
      <c r="E1879" s="445"/>
      <c r="F1879" s="445"/>
      <c r="G1879" s="445"/>
      <c r="H1879" s="445"/>
      <c r="I1879" s="77">
        <f>I1868-I1872</f>
        <v>0</v>
      </c>
      <c r="J1879" s="77">
        <f>J1868-J1872</f>
        <v>0</v>
      </c>
      <c r="K1879" s="77">
        <f>K1868-K1872</f>
        <v>0</v>
      </c>
      <c r="L1879" s="175"/>
    </row>
    <row r="1880" spans="1:12" s="33" customFormat="1" ht="13.5" customHeight="1">
      <c r="A1880" s="410"/>
      <c r="C1880" s="152"/>
      <c r="D1880" s="444" t="s">
        <v>279</v>
      </c>
      <c r="E1880" s="444"/>
      <c r="F1880" s="444"/>
      <c r="G1880" s="444"/>
      <c r="H1880" s="444"/>
      <c r="I1880" s="29">
        <f>I1881+I1882+I1883</f>
        <v>0</v>
      </c>
      <c r="J1880" s="29">
        <f>J1881+J1882+J1883</f>
        <v>0</v>
      </c>
      <c r="K1880" s="29">
        <f>K1881+K1882+K1883</f>
        <v>0</v>
      </c>
      <c r="L1880" s="175"/>
    </row>
    <row r="1881" spans="1:12" s="33" customFormat="1" ht="13.5" customHeight="1" hidden="1">
      <c r="A1881" s="410"/>
      <c r="C1881" s="152"/>
      <c r="D1881" s="444" t="s">
        <v>278</v>
      </c>
      <c r="E1881" s="444"/>
      <c r="F1881" s="444"/>
      <c r="G1881" s="444"/>
      <c r="H1881" s="444"/>
      <c r="I1881" s="29"/>
      <c r="J1881" s="77"/>
      <c r="K1881" s="80">
        <f>SUM(I1881:J1881)</f>
        <v>0</v>
      </c>
      <c r="L1881" s="175"/>
    </row>
    <row r="1882" spans="1:12" s="33" customFormat="1" ht="13.5" customHeight="1" hidden="1">
      <c r="A1882" s="410"/>
      <c r="C1882" s="152"/>
      <c r="D1882" s="444" t="s">
        <v>280</v>
      </c>
      <c r="E1882" s="444"/>
      <c r="F1882" s="444"/>
      <c r="G1882" s="444"/>
      <c r="H1882" s="444"/>
      <c r="I1882" s="29"/>
      <c r="J1882" s="77"/>
      <c r="K1882" s="80">
        <f>SUM(I1882:J1882)</f>
        <v>0</v>
      </c>
      <c r="L1882" s="175"/>
    </row>
    <row r="1883" spans="1:12" s="33" customFormat="1" ht="13.5" customHeight="1" hidden="1">
      <c r="A1883" s="410"/>
      <c r="C1883" s="152"/>
      <c r="D1883" s="444" t="s">
        <v>281</v>
      </c>
      <c r="E1883" s="444"/>
      <c r="F1883" s="444"/>
      <c r="G1883" s="444"/>
      <c r="H1883" s="444"/>
      <c r="I1883" s="29"/>
      <c r="J1883" s="77"/>
      <c r="K1883" s="80">
        <f>SUM(I1883:J1883)</f>
        <v>0</v>
      </c>
      <c r="L1883" s="175"/>
    </row>
    <row r="1884" spans="1:12" s="82" customFormat="1" ht="9" customHeight="1">
      <c r="A1884" s="407"/>
      <c r="C1884" s="149"/>
      <c r="D1884" s="81"/>
      <c r="E1884" s="81"/>
      <c r="F1884" s="81"/>
      <c r="G1884" s="81"/>
      <c r="H1884" s="81"/>
      <c r="I1884" s="29"/>
      <c r="J1884" s="80"/>
      <c r="K1884" s="80"/>
      <c r="L1884" s="80"/>
    </row>
    <row r="1885" spans="1:12" s="95" customFormat="1" ht="13.5" customHeight="1">
      <c r="A1885" s="407"/>
      <c r="C1885" s="135" t="s">
        <v>118</v>
      </c>
      <c r="D1885" s="451" t="s">
        <v>270</v>
      </c>
      <c r="E1885" s="451"/>
      <c r="F1885" s="451"/>
      <c r="G1885" s="451"/>
      <c r="H1885" s="451"/>
      <c r="I1885" s="144"/>
      <c r="J1885" s="127"/>
      <c r="K1885" s="127"/>
      <c r="L1885" s="127"/>
    </row>
    <row r="1886" spans="1:12" s="82" customFormat="1" ht="13.5" customHeight="1">
      <c r="A1886" s="407"/>
      <c r="C1886" s="96"/>
      <c r="D1886" s="447" t="s">
        <v>37</v>
      </c>
      <c r="E1886" s="447"/>
      <c r="F1886" s="447"/>
      <c r="G1886" s="447"/>
      <c r="H1886" s="447"/>
      <c r="I1886" s="77">
        <f>SUM(I1887:I1889)</f>
        <v>17267</v>
      </c>
      <c r="J1886" s="77">
        <f>SUM(J1887:J1889)</f>
        <v>0</v>
      </c>
      <c r="K1886" s="77">
        <f>SUM(K1887:K1889)</f>
        <v>17267</v>
      </c>
      <c r="L1886" s="80"/>
    </row>
    <row r="1887" spans="1:12" s="82" customFormat="1" ht="12.75" customHeight="1">
      <c r="A1887" s="407"/>
      <c r="C1887" s="96"/>
      <c r="D1887" s="446" t="s">
        <v>5</v>
      </c>
      <c r="E1887" s="446"/>
      <c r="F1887" s="446"/>
      <c r="G1887" s="446"/>
      <c r="H1887" s="446"/>
      <c r="I1887" s="29">
        <f>117799-71292-29240</f>
        <v>17267</v>
      </c>
      <c r="J1887" s="80"/>
      <c r="K1887" s="80">
        <f>SUM(I1887:J1887)</f>
        <v>17267</v>
      </c>
      <c r="L1887" s="80"/>
    </row>
    <row r="1888" spans="1:12" s="82" customFormat="1" ht="13.5" customHeight="1" hidden="1">
      <c r="A1888" s="407"/>
      <c r="C1888" s="96"/>
      <c r="D1888" s="446" t="s">
        <v>6</v>
      </c>
      <c r="E1888" s="446"/>
      <c r="F1888" s="446"/>
      <c r="G1888" s="446"/>
      <c r="H1888" s="446"/>
      <c r="I1888" s="29"/>
      <c r="J1888" s="80"/>
      <c r="K1888" s="80">
        <f>SUM(I1888:J1888)</f>
        <v>0</v>
      </c>
      <c r="L1888" s="80"/>
    </row>
    <row r="1889" spans="1:12" s="82" customFormat="1" ht="13.5" customHeight="1" hidden="1">
      <c r="A1889" s="407"/>
      <c r="C1889" s="96"/>
      <c r="D1889" s="446" t="s">
        <v>7</v>
      </c>
      <c r="E1889" s="446"/>
      <c r="F1889" s="446"/>
      <c r="G1889" s="446"/>
      <c r="H1889" s="446"/>
      <c r="I1889" s="29"/>
      <c r="J1889" s="80"/>
      <c r="K1889" s="80">
        <f>SUM(I1889:J1889)</f>
        <v>0</v>
      </c>
      <c r="L1889" s="80"/>
    </row>
    <row r="1890" spans="1:12" s="82" customFormat="1" ht="13.5" customHeight="1">
      <c r="A1890" s="407"/>
      <c r="C1890" s="96"/>
      <c r="D1890" s="447" t="s">
        <v>38</v>
      </c>
      <c r="E1890" s="447"/>
      <c r="F1890" s="447"/>
      <c r="G1890" s="447"/>
      <c r="H1890" s="447"/>
      <c r="I1890" s="254">
        <f>SUM(I1891:I1896)</f>
        <v>17267</v>
      </c>
      <c r="J1890" s="254">
        <f>SUM(J1891:J1896)</f>
        <v>0</v>
      </c>
      <c r="K1890" s="254">
        <f>SUM(K1891:K1896)</f>
        <v>17267</v>
      </c>
      <c r="L1890" s="80"/>
    </row>
    <row r="1891" spans="1:12" s="82" customFormat="1" ht="13.5" customHeight="1">
      <c r="A1891" s="407"/>
      <c r="C1891" s="96"/>
      <c r="D1891" s="446" t="s">
        <v>289</v>
      </c>
      <c r="E1891" s="446"/>
      <c r="F1891" s="446"/>
      <c r="G1891" s="446"/>
      <c r="H1891" s="446"/>
      <c r="I1891" s="29">
        <f>99545-71292-17901</f>
        <v>10352</v>
      </c>
      <c r="J1891" s="80"/>
      <c r="K1891" s="80">
        <f aca="true" t="shared" si="126" ref="K1891:K1896">SUM(I1891:J1891)</f>
        <v>10352</v>
      </c>
      <c r="L1891" s="80"/>
    </row>
    <row r="1892" spans="1:13" s="79" customFormat="1" ht="12.75" customHeight="1">
      <c r="A1892" s="407"/>
      <c r="C1892" s="151"/>
      <c r="D1892" s="444" t="s">
        <v>8</v>
      </c>
      <c r="E1892" s="448"/>
      <c r="F1892" s="448"/>
      <c r="G1892" s="448"/>
      <c r="H1892" s="448"/>
      <c r="I1892" s="29">
        <f>18254-11339</f>
        <v>6915</v>
      </c>
      <c r="J1892" s="80"/>
      <c r="K1892" s="80">
        <f t="shared" si="126"/>
        <v>6915</v>
      </c>
      <c r="L1892" s="80"/>
      <c r="M1892" s="82"/>
    </row>
    <row r="1893" spans="1:12" s="82" customFormat="1" ht="13.5" customHeight="1" hidden="1">
      <c r="A1893" s="407"/>
      <c r="C1893" s="149"/>
      <c r="D1893" s="444" t="s">
        <v>10</v>
      </c>
      <c r="E1893" s="444"/>
      <c r="F1893" s="444"/>
      <c r="G1893" s="444"/>
      <c r="H1893" s="444"/>
      <c r="I1893" s="29"/>
      <c r="J1893" s="80"/>
      <c r="K1893" s="80">
        <f t="shared" si="126"/>
        <v>0</v>
      </c>
      <c r="L1893" s="80"/>
    </row>
    <row r="1894" spans="1:13" s="79" customFormat="1" ht="13.5" customHeight="1" hidden="1">
      <c r="A1894" s="407"/>
      <c r="C1894" s="151"/>
      <c r="D1894" s="444" t="s">
        <v>9</v>
      </c>
      <c r="E1894" s="444"/>
      <c r="F1894" s="444"/>
      <c r="G1894" s="444"/>
      <c r="H1894" s="444"/>
      <c r="I1894" s="29"/>
      <c r="J1894" s="78"/>
      <c r="K1894" s="80">
        <f t="shared" si="126"/>
        <v>0</v>
      </c>
      <c r="L1894" s="80"/>
      <c r="M1894" s="82"/>
    </row>
    <row r="1895" spans="1:12" s="82" customFormat="1" ht="13.5" customHeight="1" hidden="1">
      <c r="A1895" s="407"/>
      <c r="C1895" s="149"/>
      <c r="D1895" s="444" t="s">
        <v>11</v>
      </c>
      <c r="E1895" s="444"/>
      <c r="F1895" s="444"/>
      <c r="G1895" s="444"/>
      <c r="H1895" s="444"/>
      <c r="I1895" s="29"/>
      <c r="J1895" s="80"/>
      <c r="K1895" s="80">
        <f t="shared" si="126"/>
        <v>0</v>
      </c>
      <c r="L1895" s="80"/>
    </row>
    <row r="1896" spans="1:12" s="33" customFormat="1" ht="13.5" customHeight="1" hidden="1">
      <c r="A1896" s="410"/>
      <c r="C1896" s="152"/>
      <c r="D1896" s="444" t="s">
        <v>12</v>
      </c>
      <c r="E1896" s="444"/>
      <c r="F1896" s="444"/>
      <c r="G1896" s="444"/>
      <c r="H1896" s="444"/>
      <c r="I1896" s="29"/>
      <c r="J1896" s="80"/>
      <c r="K1896" s="80">
        <f t="shared" si="126"/>
        <v>0</v>
      </c>
      <c r="L1896" s="175"/>
    </row>
    <row r="1897" spans="1:12" s="33" customFormat="1" ht="13.5" customHeight="1">
      <c r="A1897" s="410"/>
      <c r="C1897" s="152"/>
      <c r="D1897" s="445" t="s">
        <v>277</v>
      </c>
      <c r="E1897" s="445"/>
      <c r="F1897" s="445"/>
      <c r="G1897" s="445"/>
      <c r="H1897" s="445"/>
      <c r="I1897" s="77">
        <f>I1886-I1890</f>
        <v>0</v>
      </c>
      <c r="J1897" s="77">
        <f>J1886-J1890</f>
        <v>0</v>
      </c>
      <c r="K1897" s="77">
        <f>K1886-K1890</f>
        <v>0</v>
      </c>
      <c r="L1897" s="175"/>
    </row>
    <row r="1898" spans="1:12" s="33" customFormat="1" ht="13.5" customHeight="1">
      <c r="A1898" s="410"/>
      <c r="C1898" s="152"/>
      <c r="D1898" s="444" t="s">
        <v>279</v>
      </c>
      <c r="E1898" s="444"/>
      <c r="F1898" s="444"/>
      <c r="G1898" s="444"/>
      <c r="H1898" s="444"/>
      <c r="I1898" s="29">
        <f>I1899+I1900+I1901</f>
        <v>0</v>
      </c>
      <c r="J1898" s="29">
        <f>J1899+J1900+J1901</f>
        <v>0</v>
      </c>
      <c r="K1898" s="29">
        <f>K1899+K1900+K1901</f>
        <v>0</v>
      </c>
      <c r="L1898" s="175"/>
    </row>
    <row r="1899" spans="1:12" s="33" customFormat="1" ht="13.5" customHeight="1" hidden="1">
      <c r="A1899" s="410"/>
      <c r="C1899" s="152"/>
      <c r="D1899" s="444" t="s">
        <v>278</v>
      </c>
      <c r="E1899" s="444"/>
      <c r="F1899" s="444"/>
      <c r="G1899" s="444"/>
      <c r="H1899" s="444"/>
      <c r="I1899" s="29"/>
      <c r="J1899" s="77"/>
      <c r="K1899" s="80">
        <f>SUM(I1899:J1899)</f>
        <v>0</v>
      </c>
      <c r="L1899" s="175"/>
    </row>
    <row r="1900" spans="1:12" s="33" customFormat="1" ht="13.5" customHeight="1" hidden="1">
      <c r="A1900" s="410"/>
      <c r="C1900" s="152"/>
      <c r="D1900" s="444" t="s">
        <v>280</v>
      </c>
      <c r="E1900" s="444"/>
      <c r="F1900" s="444"/>
      <c r="G1900" s="444"/>
      <c r="H1900" s="444"/>
      <c r="I1900" s="29"/>
      <c r="J1900" s="77"/>
      <c r="K1900" s="80">
        <f>SUM(I1900:J1900)</f>
        <v>0</v>
      </c>
      <c r="L1900" s="175"/>
    </row>
    <row r="1901" spans="1:12" s="33" customFormat="1" ht="13.5" customHeight="1" hidden="1">
      <c r="A1901" s="410"/>
      <c r="C1901" s="152"/>
      <c r="D1901" s="444" t="s">
        <v>281</v>
      </c>
      <c r="E1901" s="444"/>
      <c r="F1901" s="444"/>
      <c r="G1901" s="444"/>
      <c r="H1901" s="444"/>
      <c r="I1901" s="29"/>
      <c r="J1901" s="77"/>
      <c r="K1901" s="80">
        <f>SUM(I1901:J1901)</f>
        <v>0</v>
      </c>
      <c r="L1901" s="175"/>
    </row>
    <row r="1902" spans="1:12" s="82" customFormat="1" ht="7.5" customHeight="1">
      <c r="A1902" s="407"/>
      <c r="C1902" s="149"/>
      <c r="D1902" s="81"/>
      <c r="E1902" s="81"/>
      <c r="F1902" s="81"/>
      <c r="G1902" s="81"/>
      <c r="H1902" s="81"/>
      <c r="I1902" s="29"/>
      <c r="J1902" s="80"/>
      <c r="K1902" s="80"/>
      <c r="L1902" s="80"/>
    </row>
    <row r="1903" spans="1:12" s="95" customFormat="1" ht="13.5" customHeight="1">
      <c r="A1903" s="407"/>
      <c r="C1903" s="153" t="s">
        <v>118</v>
      </c>
      <c r="D1903" s="449" t="s">
        <v>271</v>
      </c>
      <c r="E1903" s="449"/>
      <c r="F1903" s="449"/>
      <c r="G1903" s="449"/>
      <c r="H1903" s="449"/>
      <c r="I1903" s="129"/>
      <c r="J1903" s="127"/>
      <c r="K1903" s="127"/>
      <c r="L1903" s="127"/>
    </row>
    <row r="1904" spans="1:12" s="82" customFormat="1" ht="13.5" customHeight="1">
      <c r="A1904" s="407"/>
      <c r="C1904" s="149"/>
      <c r="D1904" s="447" t="s">
        <v>37</v>
      </c>
      <c r="E1904" s="447"/>
      <c r="F1904" s="447"/>
      <c r="G1904" s="447"/>
      <c r="H1904" s="447"/>
      <c r="I1904" s="77">
        <f>SUM(I1905:I1907)</f>
        <v>47803</v>
      </c>
      <c r="J1904" s="77">
        <f>SUM(J1905:J1907)</f>
        <v>0</v>
      </c>
      <c r="K1904" s="77">
        <f>SUM(K1905:K1907)</f>
        <v>47803</v>
      </c>
      <c r="L1904" s="80"/>
    </row>
    <row r="1905" spans="1:12" s="82" customFormat="1" ht="13.5" customHeight="1">
      <c r="A1905" s="407"/>
      <c r="C1905" s="149"/>
      <c r="D1905" s="446" t="s">
        <v>5</v>
      </c>
      <c r="E1905" s="446"/>
      <c r="F1905" s="446"/>
      <c r="G1905" s="446"/>
      <c r="H1905" s="446"/>
      <c r="I1905" s="29">
        <f>31045-11537</f>
        <v>19508</v>
      </c>
      <c r="J1905" s="80"/>
      <c r="K1905" s="80">
        <f>SUM(I1905:J1905)</f>
        <v>19508</v>
      </c>
      <c r="L1905" s="80"/>
    </row>
    <row r="1906" spans="1:12" s="82" customFormat="1" ht="13.5" customHeight="1">
      <c r="A1906" s="407"/>
      <c r="C1906" s="149"/>
      <c r="D1906" s="446" t="s">
        <v>6</v>
      </c>
      <c r="E1906" s="446"/>
      <c r="F1906" s="446"/>
      <c r="G1906" s="446"/>
      <c r="H1906" s="446"/>
      <c r="I1906" s="29">
        <f>34650-6355</f>
        <v>28295</v>
      </c>
      <c r="J1906" s="80"/>
      <c r="K1906" s="80">
        <f>SUM(I1906:J1906)</f>
        <v>28295</v>
      </c>
      <c r="L1906" s="80"/>
    </row>
    <row r="1907" spans="1:12" s="82" customFormat="1" ht="13.5" customHeight="1" hidden="1">
      <c r="A1907" s="407"/>
      <c r="C1907" s="149"/>
      <c r="D1907" s="446" t="s">
        <v>7</v>
      </c>
      <c r="E1907" s="446"/>
      <c r="F1907" s="446"/>
      <c r="G1907" s="446"/>
      <c r="H1907" s="446"/>
      <c r="I1907" s="29"/>
      <c r="J1907" s="80"/>
      <c r="K1907" s="80">
        <f>SUM(I1907:J1907)</f>
        <v>0</v>
      </c>
      <c r="L1907" s="80"/>
    </row>
    <row r="1908" spans="1:12" s="82" customFormat="1" ht="13.5" customHeight="1">
      <c r="A1908" s="407"/>
      <c r="C1908" s="149"/>
      <c r="D1908" s="447" t="s">
        <v>38</v>
      </c>
      <c r="E1908" s="447"/>
      <c r="F1908" s="447"/>
      <c r="G1908" s="447"/>
      <c r="H1908" s="447"/>
      <c r="I1908" s="254">
        <f>SUM(I1909:I1914)</f>
        <v>47803</v>
      </c>
      <c r="J1908" s="254">
        <f>SUM(J1909:J1914)</f>
        <v>0</v>
      </c>
      <c r="K1908" s="254">
        <f>SUM(K1909:K1914)</f>
        <v>47803</v>
      </c>
      <c r="L1908" s="80"/>
    </row>
    <row r="1909" spans="1:12" s="82" customFormat="1" ht="13.5" customHeight="1">
      <c r="A1909" s="407"/>
      <c r="C1909" s="149"/>
      <c r="D1909" s="446" t="s">
        <v>289</v>
      </c>
      <c r="E1909" s="446"/>
      <c r="F1909" s="446"/>
      <c r="G1909" s="446"/>
      <c r="H1909" s="446"/>
      <c r="I1909" s="29">
        <f>14907+5895-7738</f>
        <v>13064</v>
      </c>
      <c r="J1909" s="80"/>
      <c r="K1909" s="80">
        <f aca="true" t="shared" si="127" ref="K1909:K1914">SUM(I1909:J1909)</f>
        <v>13064</v>
      </c>
      <c r="L1909" s="80"/>
    </row>
    <row r="1910" spans="1:12" s="82" customFormat="1" ht="12.75" customHeight="1">
      <c r="A1910" s="407"/>
      <c r="C1910" s="149"/>
      <c r="D1910" s="444" t="s">
        <v>8</v>
      </c>
      <c r="E1910" s="448"/>
      <c r="F1910" s="448"/>
      <c r="G1910" s="448"/>
      <c r="H1910" s="448"/>
      <c r="I1910" s="29">
        <f>16138+28755-10154</f>
        <v>34739</v>
      </c>
      <c r="J1910" s="80"/>
      <c r="K1910" s="80">
        <f t="shared" si="127"/>
        <v>34739</v>
      </c>
      <c r="L1910" s="80"/>
    </row>
    <row r="1911" spans="1:12" s="82" customFormat="1" ht="13.5" customHeight="1" hidden="1">
      <c r="A1911" s="407"/>
      <c r="C1911" s="149"/>
      <c r="D1911" s="444" t="s">
        <v>10</v>
      </c>
      <c r="E1911" s="444"/>
      <c r="F1911" s="444"/>
      <c r="G1911" s="444"/>
      <c r="H1911" s="444"/>
      <c r="I1911" s="29"/>
      <c r="J1911" s="80"/>
      <c r="K1911" s="80">
        <f t="shared" si="127"/>
        <v>0</v>
      </c>
      <c r="L1911" s="80"/>
    </row>
    <row r="1912" spans="1:13" s="79" customFormat="1" ht="13.5" customHeight="1" hidden="1">
      <c r="A1912" s="407"/>
      <c r="C1912" s="151"/>
      <c r="D1912" s="444" t="s">
        <v>9</v>
      </c>
      <c r="E1912" s="444"/>
      <c r="F1912" s="444"/>
      <c r="G1912" s="444"/>
      <c r="H1912" s="444"/>
      <c r="I1912" s="29"/>
      <c r="J1912" s="77"/>
      <c r="K1912" s="80">
        <f t="shared" si="127"/>
        <v>0</v>
      </c>
      <c r="L1912" s="80"/>
      <c r="M1912" s="82"/>
    </row>
    <row r="1913" spans="1:12" s="82" customFormat="1" ht="13.5" customHeight="1" hidden="1">
      <c r="A1913" s="407"/>
      <c r="C1913" s="149"/>
      <c r="D1913" s="444" t="s">
        <v>11</v>
      </c>
      <c r="E1913" s="444"/>
      <c r="F1913" s="444"/>
      <c r="G1913" s="444"/>
      <c r="H1913" s="444"/>
      <c r="I1913" s="29"/>
      <c r="J1913" s="80"/>
      <c r="K1913" s="80">
        <f t="shared" si="127"/>
        <v>0</v>
      </c>
      <c r="L1913" s="80"/>
    </row>
    <row r="1914" spans="1:12" s="33" customFormat="1" ht="13.5" customHeight="1" hidden="1">
      <c r="A1914" s="410"/>
      <c r="C1914" s="152"/>
      <c r="D1914" s="444" t="s">
        <v>12</v>
      </c>
      <c r="E1914" s="444"/>
      <c r="F1914" s="444"/>
      <c r="G1914" s="444"/>
      <c r="H1914" s="444"/>
      <c r="I1914" s="29"/>
      <c r="J1914" s="80"/>
      <c r="K1914" s="80">
        <f t="shared" si="127"/>
        <v>0</v>
      </c>
      <c r="L1914" s="175"/>
    </row>
    <row r="1915" spans="1:12" s="33" customFormat="1" ht="13.5" customHeight="1">
      <c r="A1915" s="410"/>
      <c r="C1915" s="152"/>
      <c r="D1915" s="445" t="s">
        <v>277</v>
      </c>
      <c r="E1915" s="445"/>
      <c r="F1915" s="445"/>
      <c r="G1915" s="445"/>
      <c r="H1915" s="445"/>
      <c r="I1915" s="77">
        <f>I1904-I1908</f>
        <v>0</v>
      </c>
      <c r="J1915" s="77">
        <f>J1904-J1908</f>
        <v>0</v>
      </c>
      <c r="K1915" s="77">
        <f>K1904-K1908</f>
        <v>0</v>
      </c>
      <c r="L1915" s="175"/>
    </row>
    <row r="1916" spans="1:12" s="33" customFormat="1" ht="12.75" customHeight="1">
      <c r="A1916" s="410"/>
      <c r="C1916" s="152"/>
      <c r="D1916" s="444" t="s">
        <v>279</v>
      </c>
      <c r="E1916" s="444"/>
      <c r="F1916" s="444"/>
      <c r="G1916" s="444"/>
      <c r="H1916" s="444"/>
      <c r="I1916" s="29">
        <f>I1917+I1918+I1919</f>
        <v>0</v>
      </c>
      <c r="J1916" s="29">
        <f>J1917+J1918+J1919</f>
        <v>0</v>
      </c>
      <c r="K1916" s="29">
        <f>K1917+K1918+K1919</f>
        <v>0</v>
      </c>
      <c r="L1916" s="175"/>
    </row>
    <row r="1917" spans="1:12" s="33" customFormat="1" ht="13.5" customHeight="1" hidden="1">
      <c r="A1917" s="410"/>
      <c r="C1917" s="152"/>
      <c r="D1917" s="444" t="s">
        <v>278</v>
      </c>
      <c r="E1917" s="444"/>
      <c r="F1917" s="444"/>
      <c r="G1917" s="444"/>
      <c r="H1917" s="444"/>
      <c r="I1917" s="29"/>
      <c r="J1917" s="77"/>
      <c r="K1917" s="80">
        <f>SUM(I1917:J1917)</f>
        <v>0</v>
      </c>
      <c r="L1917" s="175"/>
    </row>
    <row r="1918" spans="1:12" s="33" customFormat="1" ht="13.5" customHeight="1" hidden="1">
      <c r="A1918" s="410"/>
      <c r="C1918" s="152"/>
      <c r="D1918" s="444" t="s">
        <v>280</v>
      </c>
      <c r="E1918" s="444"/>
      <c r="F1918" s="444"/>
      <c r="G1918" s="444"/>
      <c r="H1918" s="444"/>
      <c r="I1918" s="29"/>
      <c r="J1918" s="77"/>
      <c r="K1918" s="80">
        <f>SUM(I1918:J1918)</f>
        <v>0</v>
      </c>
      <c r="L1918" s="175"/>
    </row>
    <row r="1919" spans="1:12" s="33" customFormat="1" ht="13.5" customHeight="1" hidden="1">
      <c r="A1919" s="410"/>
      <c r="C1919" s="152"/>
      <c r="D1919" s="444" t="s">
        <v>281</v>
      </c>
      <c r="E1919" s="444"/>
      <c r="F1919" s="444"/>
      <c r="G1919" s="444"/>
      <c r="H1919" s="444"/>
      <c r="I1919" s="29"/>
      <c r="J1919" s="77"/>
      <c r="K1919" s="80">
        <f>SUM(I1919:J1919)</f>
        <v>0</v>
      </c>
      <c r="L1919" s="175"/>
    </row>
    <row r="1920" spans="1:12" s="33" customFormat="1" ht="6" customHeight="1">
      <c r="A1920" s="410"/>
      <c r="C1920" s="152"/>
      <c r="D1920" s="85"/>
      <c r="E1920" s="85"/>
      <c r="F1920" s="85"/>
      <c r="G1920" s="85"/>
      <c r="H1920" s="85"/>
      <c r="I1920" s="29"/>
      <c r="J1920" s="77"/>
      <c r="K1920" s="80"/>
      <c r="L1920" s="175"/>
    </row>
    <row r="1921" spans="1:12" s="33" customFormat="1" ht="13.5" customHeight="1" hidden="1">
      <c r="A1921" s="410"/>
      <c r="C1921" s="152"/>
      <c r="D1921" s="85"/>
      <c r="E1921" s="85"/>
      <c r="F1921" s="85"/>
      <c r="G1921" s="85"/>
      <c r="H1921" s="85"/>
      <c r="I1921" s="29"/>
      <c r="J1921" s="77"/>
      <c r="K1921" s="80"/>
      <c r="L1921" s="175"/>
    </row>
    <row r="1922" spans="1:12" s="79" customFormat="1" ht="13.5" customHeight="1">
      <c r="A1922" s="407"/>
      <c r="C1922" s="128" t="s">
        <v>118</v>
      </c>
      <c r="D1922" s="450" t="s">
        <v>527</v>
      </c>
      <c r="E1922" s="450"/>
      <c r="F1922" s="450"/>
      <c r="G1922" s="450"/>
      <c r="H1922" s="450"/>
      <c r="I1922" s="17"/>
      <c r="J1922" s="126"/>
      <c r="K1922" s="126"/>
      <c r="L1922" s="78"/>
    </row>
    <row r="1923" spans="1:12" s="33" customFormat="1" ht="13.5" customHeight="1">
      <c r="A1923" s="410"/>
      <c r="C1923" s="149"/>
      <c r="D1923" s="447" t="s">
        <v>37</v>
      </c>
      <c r="E1923" s="447"/>
      <c r="F1923" s="447"/>
      <c r="G1923" s="447"/>
      <c r="H1923" s="447"/>
      <c r="I1923" s="77">
        <f>SUM(I1924:I1926)</f>
        <v>107244</v>
      </c>
      <c r="J1923" s="77">
        <f>SUM(J1924:J1926)</f>
        <v>-1397</v>
      </c>
      <c r="K1923" s="77">
        <f>SUM(K1924:K1926)</f>
        <v>105847</v>
      </c>
      <c r="L1923" s="175"/>
    </row>
    <row r="1924" spans="1:12" s="33" customFormat="1" ht="13.5" customHeight="1">
      <c r="A1924" s="410"/>
      <c r="C1924" s="149"/>
      <c r="D1924" s="446" t="s">
        <v>5</v>
      </c>
      <c r="E1924" s="446"/>
      <c r="F1924" s="446"/>
      <c r="G1924" s="446"/>
      <c r="H1924" s="446"/>
      <c r="I1924" s="29">
        <f>107244</f>
        <v>107244</v>
      </c>
      <c r="J1924" s="80">
        <f>-1397</f>
        <v>-1397</v>
      </c>
      <c r="K1924" s="80">
        <f>SUM(I1924:J1924)</f>
        <v>105847</v>
      </c>
      <c r="L1924" s="175"/>
    </row>
    <row r="1925" spans="1:12" s="33" customFormat="1" ht="13.5" customHeight="1" hidden="1">
      <c r="A1925" s="410"/>
      <c r="C1925" s="149"/>
      <c r="D1925" s="446" t="s">
        <v>6</v>
      </c>
      <c r="E1925" s="446"/>
      <c r="F1925" s="446"/>
      <c r="G1925" s="446"/>
      <c r="H1925" s="446"/>
      <c r="I1925" s="29"/>
      <c r="J1925" s="80"/>
      <c r="K1925" s="80">
        <f>SUM(I1925:J1925)</f>
        <v>0</v>
      </c>
      <c r="L1925" s="175"/>
    </row>
    <row r="1926" spans="1:12" s="33" customFormat="1" ht="13.5" customHeight="1" hidden="1">
      <c r="A1926" s="410"/>
      <c r="C1926" s="149"/>
      <c r="D1926" s="446" t="s">
        <v>7</v>
      </c>
      <c r="E1926" s="446"/>
      <c r="F1926" s="446"/>
      <c r="G1926" s="446"/>
      <c r="H1926" s="446"/>
      <c r="I1926" s="29"/>
      <c r="J1926" s="80"/>
      <c r="K1926" s="80">
        <f>SUM(I1926:J1926)</f>
        <v>0</v>
      </c>
      <c r="L1926" s="175"/>
    </row>
    <row r="1927" spans="1:12" s="33" customFormat="1" ht="13.5" customHeight="1">
      <c r="A1927" s="410"/>
      <c r="C1927" s="149"/>
      <c r="D1927" s="447" t="s">
        <v>38</v>
      </c>
      <c r="E1927" s="447"/>
      <c r="F1927" s="447"/>
      <c r="G1927" s="447"/>
      <c r="H1927" s="447"/>
      <c r="I1927" s="256">
        <f>SUM(I1928:I1933)</f>
        <v>107244</v>
      </c>
      <c r="J1927" s="256">
        <f>SUM(J1928:J1933)</f>
        <v>-1397</v>
      </c>
      <c r="K1927" s="256">
        <f>SUM(K1928:K1933)</f>
        <v>105847</v>
      </c>
      <c r="L1927" s="175"/>
    </row>
    <row r="1928" spans="1:12" s="33" customFormat="1" ht="12" customHeight="1">
      <c r="A1928" s="410"/>
      <c r="C1928" s="149"/>
      <c r="D1928" s="446" t="s">
        <v>289</v>
      </c>
      <c r="E1928" s="446"/>
      <c r="F1928" s="446"/>
      <c r="G1928" s="446"/>
      <c r="H1928" s="446"/>
      <c r="I1928" s="29">
        <f>107244</f>
        <v>107244</v>
      </c>
      <c r="J1928" s="80">
        <f>-1397</f>
        <v>-1397</v>
      </c>
      <c r="K1928" s="80">
        <f aca="true" t="shared" si="128" ref="K1928:K1933">SUM(I1928:J1928)</f>
        <v>105847</v>
      </c>
      <c r="L1928" s="175"/>
    </row>
    <row r="1929" spans="1:12" s="33" customFormat="1" ht="13.5" customHeight="1" hidden="1">
      <c r="A1929" s="410"/>
      <c r="C1929" s="149"/>
      <c r="D1929" s="444" t="s">
        <v>8</v>
      </c>
      <c r="E1929" s="448"/>
      <c r="F1929" s="448"/>
      <c r="G1929" s="448"/>
      <c r="H1929" s="448"/>
      <c r="I1929" s="29"/>
      <c r="J1929" s="80"/>
      <c r="K1929" s="80">
        <f t="shared" si="128"/>
        <v>0</v>
      </c>
      <c r="L1929" s="175"/>
    </row>
    <row r="1930" spans="1:12" s="33" customFormat="1" ht="13.5" customHeight="1" hidden="1">
      <c r="A1930" s="410"/>
      <c r="C1930" s="149"/>
      <c r="D1930" s="444" t="s">
        <v>10</v>
      </c>
      <c r="E1930" s="444"/>
      <c r="F1930" s="444"/>
      <c r="G1930" s="444"/>
      <c r="H1930" s="444"/>
      <c r="I1930" s="29"/>
      <c r="J1930" s="77"/>
      <c r="K1930" s="80">
        <f t="shared" si="128"/>
        <v>0</v>
      </c>
      <c r="L1930" s="175"/>
    </row>
    <row r="1931" spans="1:12" s="33" customFormat="1" ht="13.5" customHeight="1" hidden="1">
      <c r="A1931" s="410"/>
      <c r="C1931" s="149"/>
      <c r="D1931" s="444" t="s">
        <v>9</v>
      </c>
      <c r="E1931" s="444"/>
      <c r="F1931" s="444"/>
      <c r="G1931" s="444"/>
      <c r="H1931" s="444"/>
      <c r="I1931" s="29"/>
      <c r="J1931" s="80"/>
      <c r="K1931" s="80">
        <f t="shared" si="128"/>
        <v>0</v>
      </c>
      <c r="L1931" s="175"/>
    </row>
    <row r="1932" spans="1:12" s="33" customFormat="1" ht="13.5" customHeight="1" hidden="1">
      <c r="A1932" s="410"/>
      <c r="C1932" s="149"/>
      <c r="D1932" s="444" t="s">
        <v>11</v>
      </c>
      <c r="E1932" s="444"/>
      <c r="F1932" s="444"/>
      <c r="G1932" s="444"/>
      <c r="H1932" s="444"/>
      <c r="I1932" s="29"/>
      <c r="J1932" s="80"/>
      <c r="K1932" s="80">
        <f t="shared" si="128"/>
        <v>0</v>
      </c>
      <c r="L1932" s="175"/>
    </row>
    <row r="1933" spans="1:12" s="33" customFormat="1" ht="13.5" customHeight="1" hidden="1">
      <c r="A1933" s="410"/>
      <c r="C1933" s="149"/>
      <c r="D1933" s="444" t="s">
        <v>12</v>
      </c>
      <c r="E1933" s="444"/>
      <c r="F1933" s="444"/>
      <c r="G1933" s="444"/>
      <c r="H1933" s="444"/>
      <c r="I1933" s="29"/>
      <c r="J1933" s="80"/>
      <c r="K1933" s="80">
        <f t="shared" si="128"/>
        <v>0</v>
      </c>
      <c r="L1933" s="175"/>
    </row>
    <row r="1934" spans="1:12" s="33" customFormat="1" ht="11.25" customHeight="1">
      <c r="A1934" s="410"/>
      <c r="C1934" s="149"/>
      <c r="D1934" s="445" t="s">
        <v>277</v>
      </c>
      <c r="E1934" s="445"/>
      <c r="F1934" s="445"/>
      <c r="G1934" s="445"/>
      <c r="H1934" s="445"/>
      <c r="I1934" s="77">
        <f>I1923-I1927</f>
        <v>0</v>
      </c>
      <c r="J1934" s="77">
        <f>J1923-J1927</f>
        <v>0</v>
      </c>
      <c r="K1934" s="77">
        <f>K1923-K1927</f>
        <v>0</v>
      </c>
      <c r="L1934" s="175"/>
    </row>
    <row r="1935" spans="1:12" s="33" customFormat="1" ht="13.5" customHeight="1">
      <c r="A1935" s="410"/>
      <c r="C1935" s="149"/>
      <c r="D1935" s="444" t="s">
        <v>279</v>
      </c>
      <c r="E1935" s="444"/>
      <c r="F1935" s="444"/>
      <c r="G1935" s="444"/>
      <c r="H1935" s="444"/>
      <c r="I1935" s="29">
        <f>I1936</f>
        <v>0</v>
      </c>
      <c r="J1935" s="29">
        <f>J1936</f>
        <v>0</v>
      </c>
      <c r="K1935" s="29">
        <f>K1936</f>
        <v>0</v>
      </c>
      <c r="L1935" s="175"/>
    </row>
    <row r="1936" spans="1:12" s="33" customFormat="1" ht="13.5" customHeight="1" hidden="1">
      <c r="A1936" s="410"/>
      <c r="C1936" s="149"/>
      <c r="D1936" s="444" t="s">
        <v>278</v>
      </c>
      <c r="E1936" s="444"/>
      <c r="F1936" s="444"/>
      <c r="G1936" s="444"/>
      <c r="H1936" s="444"/>
      <c r="I1936" s="29"/>
      <c r="J1936" s="77"/>
      <c r="K1936" s="80">
        <f>SUM(I1936:J1936)</f>
        <v>0</v>
      </c>
      <c r="L1936" s="175"/>
    </row>
    <row r="1937" spans="1:12" s="33" customFormat="1" ht="3.75" customHeight="1">
      <c r="A1937" s="410"/>
      <c r="C1937" s="149"/>
      <c r="D1937" s="85"/>
      <c r="E1937" s="85"/>
      <c r="F1937" s="85"/>
      <c r="G1937" s="85"/>
      <c r="H1937" s="85"/>
      <c r="I1937" s="29"/>
      <c r="J1937" s="77"/>
      <c r="K1937" s="80"/>
      <c r="L1937" s="175"/>
    </row>
    <row r="1938" spans="1:12" s="33" customFormat="1" ht="13.5" customHeight="1">
      <c r="A1938" s="410"/>
      <c r="C1938" s="142" t="s">
        <v>60</v>
      </c>
      <c r="D1938" s="450" t="s">
        <v>571</v>
      </c>
      <c r="E1938" s="450"/>
      <c r="F1938" s="450"/>
      <c r="G1938" s="450"/>
      <c r="H1938" s="450"/>
      <c r="I1938" s="17"/>
      <c r="J1938" s="126"/>
      <c r="K1938" s="126"/>
      <c r="L1938" s="127"/>
    </row>
    <row r="1939" spans="1:12" s="33" customFormat="1" ht="12.75" customHeight="1">
      <c r="A1939" s="410"/>
      <c r="C1939" s="154"/>
      <c r="D1939" s="447" t="s">
        <v>37</v>
      </c>
      <c r="E1939" s="447"/>
      <c r="F1939" s="447"/>
      <c r="G1939" s="447"/>
      <c r="H1939" s="447"/>
      <c r="I1939" s="77">
        <f>SUM(I1940:I1942)</f>
        <v>38261</v>
      </c>
      <c r="J1939" s="77">
        <f>SUM(J1940:J1942)</f>
        <v>2757</v>
      </c>
      <c r="K1939" s="77">
        <f>SUM(K1940:K1942)</f>
        <v>41018</v>
      </c>
      <c r="L1939" s="127"/>
    </row>
    <row r="1940" spans="1:12" s="33" customFormat="1" ht="12.75" customHeight="1">
      <c r="A1940" s="410"/>
      <c r="C1940" s="154"/>
      <c r="D1940" s="446" t="s">
        <v>5</v>
      </c>
      <c r="E1940" s="446"/>
      <c r="F1940" s="446"/>
      <c r="G1940" s="446"/>
      <c r="H1940" s="446"/>
      <c r="I1940" s="29">
        <f>I1958+I1976+I1994+I2012</f>
        <v>26476</v>
      </c>
      <c r="J1940" s="29">
        <f>J1958+J1976+J1994+J2012</f>
        <v>229</v>
      </c>
      <c r="K1940" s="29">
        <f>K1958+K1976+K1994+K2012</f>
        <v>26705</v>
      </c>
      <c r="L1940" s="127"/>
    </row>
    <row r="1941" spans="1:12" s="33" customFormat="1" ht="12" customHeight="1">
      <c r="A1941" s="410"/>
      <c r="C1941" s="154"/>
      <c r="D1941" s="446" t="s">
        <v>6</v>
      </c>
      <c r="E1941" s="446"/>
      <c r="F1941" s="446"/>
      <c r="G1941" s="446"/>
      <c r="H1941" s="446"/>
      <c r="I1941" s="29">
        <f aca="true" t="shared" si="129" ref="I1941:K1942">I1959+I1977+I1995+I2013</f>
        <v>11785</v>
      </c>
      <c r="J1941" s="29">
        <f t="shared" si="129"/>
        <v>2528</v>
      </c>
      <c r="K1941" s="29">
        <f t="shared" si="129"/>
        <v>14313</v>
      </c>
      <c r="L1941" s="127"/>
    </row>
    <row r="1942" spans="1:12" s="33" customFormat="1" ht="12.75" customHeight="1" hidden="1">
      <c r="A1942" s="410"/>
      <c r="C1942" s="154"/>
      <c r="D1942" s="446" t="s">
        <v>7</v>
      </c>
      <c r="E1942" s="446"/>
      <c r="F1942" s="446"/>
      <c r="G1942" s="446"/>
      <c r="H1942" s="446"/>
      <c r="I1942" s="29">
        <f t="shared" si="129"/>
        <v>0</v>
      </c>
      <c r="J1942" s="29">
        <f t="shared" si="129"/>
        <v>0</v>
      </c>
      <c r="K1942" s="29">
        <f t="shared" si="129"/>
        <v>0</v>
      </c>
      <c r="L1942" s="127"/>
    </row>
    <row r="1943" spans="1:12" s="33" customFormat="1" ht="14.25" customHeight="1">
      <c r="A1943" s="410"/>
      <c r="C1943" s="154"/>
      <c r="D1943" s="447" t="s">
        <v>38</v>
      </c>
      <c r="E1943" s="447"/>
      <c r="F1943" s="447"/>
      <c r="G1943" s="447"/>
      <c r="H1943" s="447"/>
      <c r="I1943" s="253">
        <f>SUM(I1944:I1949)</f>
        <v>38261</v>
      </c>
      <c r="J1943" s="253">
        <f>SUM(J1944:J1949)</f>
        <v>2757</v>
      </c>
      <c r="K1943" s="253">
        <f>SUM(K1944:K1949)</f>
        <v>41018</v>
      </c>
      <c r="L1943" s="127"/>
    </row>
    <row r="1944" spans="1:12" s="33" customFormat="1" ht="14.25" customHeight="1">
      <c r="A1944" s="410"/>
      <c r="C1944" s="154"/>
      <c r="D1944" s="446" t="s">
        <v>289</v>
      </c>
      <c r="E1944" s="446"/>
      <c r="F1944" s="446"/>
      <c r="G1944" s="446"/>
      <c r="H1944" s="446"/>
      <c r="I1944" s="29">
        <f>I1962+I1980+I1998+I2016</f>
        <v>7344</v>
      </c>
      <c r="J1944" s="29">
        <f>J1962+J1980+J1998+J2016</f>
        <v>1992</v>
      </c>
      <c r="K1944" s="29">
        <f>K1962+K1980+K1998+K2016</f>
        <v>9336</v>
      </c>
      <c r="L1944" s="127"/>
    </row>
    <row r="1945" spans="1:12" s="33" customFormat="1" ht="12.75" customHeight="1">
      <c r="A1945" s="410"/>
      <c r="C1945" s="154"/>
      <c r="D1945" s="444" t="s">
        <v>8</v>
      </c>
      <c r="E1945" s="448"/>
      <c r="F1945" s="448"/>
      <c r="G1945" s="448"/>
      <c r="H1945" s="448"/>
      <c r="I1945" s="29">
        <f aca="true" t="shared" si="130" ref="I1945:K1949">I1963+I1981+I1999+I2017</f>
        <v>30917</v>
      </c>
      <c r="J1945" s="29">
        <f t="shared" si="130"/>
        <v>765</v>
      </c>
      <c r="K1945" s="29">
        <f t="shared" si="130"/>
        <v>31682</v>
      </c>
      <c r="L1945" s="127"/>
    </row>
    <row r="1946" spans="1:12" s="33" customFormat="1" ht="14.25" customHeight="1" hidden="1">
      <c r="A1946" s="410"/>
      <c r="C1946" s="154"/>
      <c r="D1946" s="444" t="s">
        <v>10</v>
      </c>
      <c r="E1946" s="444"/>
      <c r="F1946" s="444"/>
      <c r="G1946" s="444"/>
      <c r="H1946" s="444"/>
      <c r="I1946" s="29">
        <f t="shared" si="130"/>
        <v>0</v>
      </c>
      <c r="J1946" s="29">
        <f t="shared" si="130"/>
        <v>0</v>
      </c>
      <c r="K1946" s="29">
        <f t="shared" si="130"/>
        <v>0</v>
      </c>
      <c r="L1946" s="127"/>
    </row>
    <row r="1947" spans="1:12" s="33" customFormat="1" ht="14.25" customHeight="1" hidden="1">
      <c r="A1947" s="410"/>
      <c r="C1947" s="154"/>
      <c r="D1947" s="444" t="s">
        <v>9</v>
      </c>
      <c r="E1947" s="444"/>
      <c r="F1947" s="444"/>
      <c r="G1947" s="444"/>
      <c r="H1947" s="444"/>
      <c r="I1947" s="29">
        <f t="shared" si="130"/>
        <v>0</v>
      </c>
      <c r="J1947" s="29">
        <f t="shared" si="130"/>
        <v>0</v>
      </c>
      <c r="K1947" s="29">
        <f t="shared" si="130"/>
        <v>0</v>
      </c>
      <c r="L1947" s="127"/>
    </row>
    <row r="1948" spans="1:12" s="33" customFormat="1" ht="14.25" customHeight="1" hidden="1">
      <c r="A1948" s="410"/>
      <c r="C1948" s="154"/>
      <c r="D1948" s="444" t="s">
        <v>11</v>
      </c>
      <c r="E1948" s="444"/>
      <c r="F1948" s="444"/>
      <c r="G1948" s="444"/>
      <c r="H1948" s="444"/>
      <c r="I1948" s="29">
        <f t="shared" si="130"/>
        <v>0</v>
      </c>
      <c r="J1948" s="29">
        <f t="shared" si="130"/>
        <v>0</v>
      </c>
      <c r="K1948" s="29">
        <f t="shared" si="130"/>
        <v>0</v>
      </c>
      <c r="L1948" s="127"/>
    </row>
    <row r="1949" spans="1:12" s="33" customFormat="1" ht="14.25" customHeight="1" hidden="1">
      <c r="A1949" s="410"/>
      <c r="C1949" s="151"/>
      <c r="D1949" s="444" t="s">
        <v>12</v>
      </c>
      <c r="E1949" s="444"/>
      <c r="F1949" s="444"/>
      <c r="G1949" s="444"/>
      <c r="H1949" s="444"/>
      <c r="I1949" s="29">
        <f t="shared" si="130"/>
        <v>0</v>
      </c>
      <c r="J1949" s="29">
        <f t="shared" si="130"/>
        <v>0</v>
      </c>
      <c r="K1949" s="29">
        <f t="shared" si="130"/>
        <v>0</v>
      </c>
      <c r="L1949" s="80"/>
    </row>
    <row r="1950" spans="1:12" s="33" customFormat="1" ht="13.5" customHeight="1">
      <c r="A1950" s="410"/>
      <c r="C1950" s="151"/>
      <c r="D1950" s="445" t="s">
        <v>277</v>
      </c>
      <c r="E1950" s="445"/>
      <c r="F1950" s="445"/>
      <c r="G1950" s="445"/>
      <c r="H1950" s="445"/>
      <c r="I1950" s="77">
        <f>I1939-I1943</f>
        <v>0</v>
      </c>
      <c r="J1950" s="77">
        <f>J1939-J1943</f>
        <v>0</v>
      </c>
      <c r="K1950" s="77">
        <f>K1939-K1943</f>
        <v>0</v>
      </c>
      <c r="L1950" s="80"/>
    </row>
    <row r="1951" spans="1:12" s="33" customFormat="1" ht="12" customHeight="1">
      <c r="A1951" s="410"/>
      <c r="C1951" s="151"/>
      <c r="D1951" s="444" t="s">
        <v>279</v>
      </c>
      <c r="E1951" s="444"/>
      <c r="F1951" s="444"/>
      <c r="G1951" s="444"/>
      <c r="H1951" s="444"/>
      <c r="I1951" s="29">
        <f>I1952+I1953+I1954</f>
        <v>0</v>
      </c>
      <c r="J1951" s="29">
        <f>J1952+J1953+J1954</f>
        <v>0</v>
      </c>
      <c r="K1951" s="29">
        <f>K1952+K1953+K1954</f>
        <v>0</v>
      </c>
      <c r="L1951" s="80"/>
    </row>
    <row r="1952" spans="1:12" s="33" customFormat="1" ht="14.25" customHeight="1" hidden="1">
      <c r="A1952" s="410"/>
      <c r="C1952" s="151"/>
      <c r="D1952" s="444" t="s">
        <v>278</v>
      </c>
      <c r="E1952" s="444"/>
      <c r="F1952" s="444"/>
      <c r="G1952" s="444"/>
      <c r="H1952" s="444"/>
      <c r="I1952" s="29">
        <f>I1970+I1988+I2006+I2024</f>
        <v>0</v>
      </c>
      <c r="J1952" s="29">
        <f>J1970+J1988+J2006+J2024</f>
        <v>0</v>
      </c>
      <c r="K1952" s="29">
        <f>K1970+K1988+K2006+K2024</f>
        <v>0</v>
      </c>
      <c r="L1952" s="80"/>
    </row>
    <row r="1953" spans="1:12" s="33" customFormat="1" ht="14.25" customHeight="1" hidden="1">
      <c r="A1953" s="410"/>
      <c r="C1953" s="151"/>
      <c r="D1953" s="444" t="s">
        <v>280</v>
      </c>
      <c r="E1953" s="444"/>
      <c r="F1953" s="444"/>
      <c r="G1953" s="444"/>
      <c r="H1953" s="444"/>
      <c r="I1953" s="29">
        <f aca="true" t="shared" si="131" ref="I1953:K1954">I1971+I1989+I2007+I2025</f>
        <v>0</v>
      </c>
      <c r="J1953" s="29">
        <f t="shared" si="131"/>
        <v>0</v>
      </c>
      <c r="K1953" s="29">
        <f t="shared" si="131"/>
        <v>0</v>
      </c>
      <c r="L1953" s="80"/>
    </row>
    <row r="1954" spans="1:12" s="33" customFormat="1" ht="14.25" customHeight="1" hidden="1">
      <c r="A1954" s="410"/>
      <c r="C1954" s="151"/>
      <c r="D1954" s="444" t="s">
        <v>281</v>
      </c>
      <c r="E1954" s="444"/>
      <c r="F1954" s="444"/>
      <c r="G1954" s="444"/>
      <c r="H1954" s="444"/>
      <c r="I1954" s="29">
        <f t="shared" si="131"/>
        <v>0</v>
      </c>
      <c r="J1954" s="29">
        <f t="shared" si="131"/>
        <v>0</v>
      </c>
      <c r="K1954" s="29">
        <f t="shared" si="131"/>
        <v>0</v>
      </c>
      <c r="L1954" s="80"/>
    </row>
    <row r="1955" spans="1:12" s="33" customFormat="1" ht="0.75" customHeight="1" hidden="1">
      <c r="A1955" s="410"/>
      <c r="C1955" s="149"/>
      <c r="D1955" s="81"/>
      <c r="E1955" s="81"/>
      <c r="F1955" s="81"/>
      <c r="G1955" s="81"/>
      <c r="H1955" s="81"/>
      <c r="I1955" s="29"/>
      <c r="J1955" s="80"/>
      <c r="K1955" s="80"/>
      <c r="L1955" s="80"/>
    </row>
    <row r="1956" spans="1:12" s="33" customFormat="1" ht="14.25" customHeight="1" hidden="1">
      <c r="A1956" s="410"/>
      <c r="C1956" s="153" t="s">
        <v>107</v>
      </c>
      <c r="D1956" s="449" t="s">
        <v>572</v>
      </c>
      <c r="E1956" s="449"/>
      <c r="F1956" s="449"/>
      <c r="G1956" s="449"/>
      <c r="H1956" s="449"/>
      <c r="I1956" s="129"/>
      <c r="J1956" s="127"/>
      <c r="K1956" s="127"/>
      <c r="L1956" s="127"/>
    </row>
    <row r="1957" spans="1:12" s="33" customFormat="1" ht="14.25" customHeight="1" hidden="1">
      <c r="A1957" s="410"/>
      <c r="C1957" s="149"/>
      <c r="D1957" s="447" t="s">
        <v>37</v>
      </c>
      <c r="E1957" s="447"/>
      <c r="F1957" s="447"/>
      <c r="G1957" s="447"/>
      <c r="H1957" s="447"/>
      <c r="I1957" s="77">
        <f>SUM(I1958:I1960)</f>
        <v>0</v>
      </c>
      <c r="J1957" s="77">
        <f>SUM(J1958:J1960)</f>
        <v>0</v>
      </c>
      <c r="K1957" s="77">
        <f>SUM(K1958:K1960)</f>
        <v>0</v>
      </c>
      <c r="L1957" s="80"/>
    </row>
    <row r="1958" spans="1:12" s="33" customFormat="1" ht="14.25" customHeight="1" hidden="1">
      <c r="A1958" s="410"/>
      <c r="C1958" s="149"/>
      <c r="D1958" s="446" t="s">
        <v>5</v>
      </c>
      <c r="E1958" s="446"/>
      <c r="F1958" s="446"/>
      <c r="G1958" s="446"/>
      <c r="H1958" s="446"/>
      <c r="I1958" s="29"/>
      <c r="J1958" s="80"/>
      <c r="K1958" s="80">
        <f>SUM(I1958:J1958)</f>
        <v>0</v>
      </c>
      <c r="L1958" s="80"/>
    </row>
    <row r="1959" spans="1:12" s="33" customFormat="1" ht="14.25" customHeight="1" hidden="1">
      <c r="A1959" s="410"/>
      <c r="C1959" s="149"/>
      <c r="D1959" s="446" t="s">
        <v>6</v>
      </c>
      <c r="E1959" s="446"/>
      <c r="F1959" s="446"/>
      <c r="G1959" s="446"/>
      <c r="H1959" s="446"/>
      <c r="I1959" s="29"/>
      <c r="J1959" s="80"/>
      <c r="K1959" s="80">
        <f>SUM(I1959:J1959)</f>
        <v>0</v>
      </c>
      <c r="L1959" s="80"/>
    </row>
    <row r="1960" spans="1:12" s="33" customFormat="1" ht="14.25" customHeight="1" hidden="1">
      <c r="A1960" s="410"/>
      <c r="C1960" s="149"/>
      <c r="D1960" s="446" t="s">
        <v>7</v>
      </c>
      <c r="E1960" s="446"/>
      <c r="F1960" s="446"/>
      <c r="G1960" s="446"/>
      <c r="H1960" s="446"/>
      <c r="I1960" s="29"/>
      <c r="J1960" s="80"/>
      <c r="K1960" s="80">
        <f>SUM(I1960:J1960)</f>
        <v>0</v>
      </c>
      <c r="L1960" s="80"/>
    </row>
    <row r="1961" spans="1:12" s="33" customFormat="1" ht="14.25" customHeight="1" hidden="1">
      <c r="A1961" s="410"/>
      <c r="C1961" s="149"/>
      <c r="D1961" s="447" t="s">
        <v>38</v>
      </c>
      <c r="E1961" s="447"/>
      <c r="F1961" s="447"/>
      <c r="G1961" s="447"/>
      <c r="H1961" s="447"/>
      <c r="I1961" s="254">
        <f>SUM(I1962:I1967)</f>
        <v>0</v>
      </c>
      <c r="J1961" s="254">
        <f>SUM(J1962:J1967)</f>
        <v>0</v>
      </c>
      <c r="K1961" s="254">
        <f>SUM(K1962:K1967)</f>
        <v>0</v>
      </c>
      <c r="L1961" s="80"/>
    </row>
    <row r="1962" spans="1:12" s="33" customFormat="1" ht="14.25" customHeight="1" hidden="1">
      <c r="A1962" s="410"/>
      <c r="C1962" s="149"/>
      <c r="D1962" s="446" t="s">
        <v>289</v>
      </c>
      <c r="E1962" s="446"/>
      <c r="F1962" s="446"/>
      <c r="G1962" s="446"/>
      <c r="H1962" s="446"/>
      <c r="I1962" s="29"/>
      <c r="J1962" s="80"/>
      <c r="K1962" s="80">
        <f aca="true" t="shared" si="132" ref="K1962:K1967">SUM(I1962:J1962)</f>
        <v>0</v>
      </c>
      <c r="L1962" s="80"/>
    </row>
    <row r="1963" spans="1:12" s="33" customFormat="1" ht="14.25" customHeight="1" hidden="1">
      <c r="A1963" s="410"/>
      <c r="C1963" s="151"/>
      <c r="D1963" s="444" t="s">
        <v>8</v>
      </c>
      <c r="E1963" s="448"/>
      <c r="F1963" s="448"/>
      <c r="G1963" s="448"/>
      <c r="H1963" s="448"/>
      <c r="I1963" s="29"/>
      <c r="J1963" s="80"/>
      <c r="K1963" s="80">
        <f t="shared" si="132"/>
        <v>0</v>
      </c>
      <c r="L1963" s="80"/>
    </row>
    <row r="1964" spans="1:12" s="33" customFormat="1" ht="14.25" customHeight="1" hidden="1">
      <c r="A1964" s="410"/>
      <c r="C1964" s="149"/>
      <c r="D1964" s="444" t="s">
        <v>10</v>
      </c>
      <c r="E1964" s="444"/>
      <c r="F1964" s="444"/>
      <c r="G1964" s="444"/>
      <c r="H1964" s="444"/>
      <c r="I1964" s="29"/>
      <c r="J1964" s="80"/>
      <c r="K1964" s="80">
        <f t="shared" si="132"/>
        <v>0</v>
      </c>
      <c r="L1964" s="80"/>
    </row>
    <row r="1965" spans="1:12" s="33" customFormat="1" ht="14.25" customHeight="1" hidden="1">
      <c r="A1965" s="410"/>
      <c r="C1965" s="151"/>
      <c r="D1965" s="444" t="s">
        <v>9</v>
      </c>
      <c r="E1965" s="444"/>
      <c r="F1965" s="444"/>
      <c r="G1965" s="444"/>
      <c r="H1965" s="444"/>
      <c r="I1965" s="29"/>
      <c r="J1965" s="78"/>
      <c r="K1965" s="80">
        <f t="shared" si="132"/>
        <v>0</v>
      </c>
      <c r="L1965" s="80"/>
    </row>
    <row r="1966" spans="1:12" s="33" customFormat="1" ht="14.25" customHeight="1" hidden="1">
      <c r="A1966" s="410"/>
      <c r="C1966" s="149"/>
      <c r="D1966" s="444" t="s">
        <v>11</v>
      </c>
      <c r="E1966" s="444"/>
      <c r="F1966" s="444"/>
      <c r="G1966" s="444"/>
      <c r="H1966" s="444"/>
      <c r="I1966" s="29"/>
      <c r="J1966" s="80"/>
      <c r="K1966" s="80">
        <f t="shared" si="132"/>
        <v>0</v>
      </c>
      <c r="L1966" s="80"/>
    </row>
    <row r="1967" spans="1:12" s="33" customFormat="1" ht="14.25" customHeight="1" hidden="1">
      <c r="A1967" s="410"/>
      <c r="C1967" s="152"/>
      <c r="D1967" s="444" t="s">
        <v>12</v>
      </c>
      <c r="E1967" s="444"/>
      <c r="F1967" s="444"/>
      <c r="G1967" s="444"/>
      <c r="H1967" s="444"/>
      <c r="I1967" s="29"/>
      <c r="J1967" s="80"/>
      <c r="K1967" s="80">
        <f t="shared" si="132"/>
        <v>0</v>
      </c>
      <c r="L1967" s="175"/>
    </row>
    <row r="1968" spans="1:12" s="33" customFormat="1" ht="14.25" customHeight="1" hidden="1">
      <c r="A1968" s="410"/>
      <c r="C1968" s="152"/>
      <c r="D1968" s="445" t="s">
        <v>277</v>
      </c>
      <c r="E1968" s="445"/>
      <c r="F1968" s="445"/>
      <c r="G1968" s="445"/>
      <c r="H1968" s="445"/>
      <c r="I1968" s="77">
        <f>I1957-I1961</f>
        <v>0</v>
      </c>
      <c r="J1968" s="77">
        <f>J1957-J1961</f>
        <v>0</v>
      </c>
      <c r="K1968" s="77">
        <f>K1957-K1961</f>
        <v>0</v>
      </c>
      <c r="L1968" s="175"/>
    </row>
    <row r="1969" spans="1:12" s="33" customFormat="1" ht="14.25" customHeight="1" hidden="1">
      <c r="A1969" s="410"/>
      <c r="C1969" s="152"/>
      <c r="D1969" s="444" t="s">
        <v>279</v>
      </c>
      <c r="E1969" s="444"/>
      <c r="F1969" s="444"/>
      <c r="G1969" s="444"/>
      <c r="H1969" s="444"/>
      <c r="I1969" s="29">
        <f>I1970+I1971+I1972</f>
        <v>0</v>
      </c>
      <c r="J1969" s="29">
        <f>J1970+J1971+J1972</f>
        <v>0</v>
      </c>
      <c r="K1969" s="29">
        <f>K1970+K1971+K1972</f>
        <v>0</v>
      </c>
      <c r="L1969" s="175"/>
    </row>
    <row r="1970" spans="1:12" s="33" customFormat="1" ht="14.25" customHeight="1" hidden="1">
      <c r="A1970" s="410"/>
      <c r="C1970" s="152"/>
      <c r="D1970" s="444" t="s">
        <v>278</v>
      </c>
      <c r="E1970" s="444"/>
      <c r="F1970" s="444"/>
      <c r="G1970" s="444"/>
      <c r="H1970" s="444"/>
      <c r="I1970" s="29"/>
      <c r="J1970" s="77"/>
      <c r="K1970" s="80">
        <f>SUM(I1970:J1970)</f>
        <v>0</v>
      </c>
      <c r="L1970" s="175"/>
    </row>
    <row r="1971" spans="1:12" s="33" customFormat="1" ht="14.25" customHeight="1" hidden="1">
      <c r="A1971" s="410"/>
      <c r="C1971" s="152"/>
      <c r="D1971" s="444" t="s">
        <v>280</v>
      </c>
      <c r="E1971" s="444"/>
      <c r="F1971" s="444"/>
      <c r="G1971" s="444"/>
      <c r="H1971" s="444"/>
      <c r="I1971" s="29"/>
      <c r="J1971" s="77"/>
      <c r="K1971" s="80">
        <f>SUM(I1971:J1971)</f>
        <v>0</v>
      </c>
      <c r="L1971" s="175"/>
    </row>
    <row r="1972" spans="1:12" s="33" customFormat="1" ht="14.25" customHeight="1" hidden="1">
      <c r="A1972" s="410"/>
      <c r="C1972" s="152"/>
      <c r="D1972" s="444" t="s">
        <v>281</v>
      </c>
      <c r="E1972" s="444"/>
      <c r="F1972" s="444"/>
      <c r="G1972" s="444"/>
      <c r="H1972" s="444"/>
      <c r="I1972" s="29"/>
      <c r="J1972" s="77"/>
      <c r="K1972" s="80">
        <f>SUM(I1972:J1972)</f>
        <v>0</v>
      </c>
      <c r="L1972" s="175"/>
    </row>
    <row r="1973" spans="1:12" s="33" customFormat="1" ht="9" customHeight="1">
      <c r="A1973" s="410"/>
      <c r="C1973" s="149"/>
      <c r="D1973" s="81"/>
      <c r="E1973" s="81"/>
      <c r="F1973" s="81"/>
      <c r="G1973" s="81"/>
      <c r="H1973" s="81"/>
      <c r="I1973" s="29"/>
      <c r="J1973" s="80"/>
      <c r="K1973" s="80"/>
      <c r="L1973" s="80"/>
    </row>
    <row r="1974" spans="1:12" s="33" customFormat="1" ht="13.5" customHeight="1">
      <c r="A1974" s="410"/>
      <c r="C1974" s="135" t="s">
        <v>118</v>
      </c>
      <c r="D1974" s="451" t="s">
        <v>573</v>
      </c>
      <c r="E1974" s="451"/>
      <c r="F1974" s="451"/>
      <c r="G1974" s="451"/>
      <c r="H1974" s="451"/>
      <c r="I1974" s="144"/>
      <c r="J1974" s="127"/>
      <c r="K1974" s="127"/>
      <c r="L1974" s="127"/>
    </row>
    <row r="1975" spans="1:12" s="33" customFormat="1" ht="13.5" customHeight="1">
      <c r="A1975" s="410"/>
      <c r="C1975" s="96"/>
      <c r="D1975" s="447" t="s">
        <v>37</v>
      </c>
      <c r="E1975" s="447"/>
      <c r="F1975" s="447"/>
      <c r="G1975" s="447"/>
      <c r="H1975" s="447"/>
      <c r="I1975" s="77">
        <f>SUM(I1976:I1978)</f>
        <v>14939</v>
      </c>
      <c r="J1975" s="77">
        <f>SUM(J1976:J1978)</f>
        <v>1242</v>
      </c>
      <c r="K1975" s="77">
        <f>SUM(K1976:K1978)</f>
        <v>16181</v>
      </c>
      <c r="L1975" s="80"/>
    </row>
    <row r="1976" spans="1:12" s="33" customFormat="1" ht="12" customHeight="1">
      <c r="A1976" s="410"/>
      <c r="C1976" s="96"/>
      <c r="D1976" s="446" t="s">
        <v>5</v>
      </c>
      <c r="E1976" s="446"/>
      <c r="F1976" s="446"/>
      <c r="G1976" s="446"/>
      <c r="H1976" s="446"/>
      <c r="I1976" s="29">
        <f>14939</f>
        <v>14939</v>
      </c>
      <c r="J1976" s="80">
        <f>1242</f>
        <v>1242</v>
      </c>
      <c r="K1976" s="80">
        <f>SUM(I1976:J1976)</f>
        <v>16181</v>
      </c>
      <c r="L1976" s="80"/>
    </row>
    <row r="1977" spans="1:12" s="33" customFormat="1" ht="13.5" customHeight="1" hidden="1">
      <c r="A1977" s="410"/>
      <c r="C1977" s="96"/>
      <c r="D1977" s="446" t="s">
        <v>6</v>
      </c>
      <c r="E1977" s="446"/>
      <c r="F1977" s="446"/>
      <c r="G1977" s="446"/>
      <c r="H1977" s="446"/>
      <c r="I1977" s="29"/>
      <c r="J1977" s="80"/>
      <c r="K1977" s="80">
        <f>SUM(I1977:J1977)</f>
        <v>0</v>
      </c>
      <c r="L1977" s="80"/>
    </row>
    <row r="1978" spans="1:12" s="33" customFormat="1" ht="13.5" customHeight="1" hidden="1">
      <c r="A1978" s="410"/>
      <c r="C1978" s="96"/>
      <c r="D1978" s="446" t="s">
        <v>7</v>
      </c>
      <c r="E1978" s="446"/>
      <c r="F1978" s="446"/>
      <c r="G1978" s="446"/>
      <c r="H1978" s="446"/>
      <c r="I1978" s="29"/>
      <c r="J1978" s="80"/>
      <c r="K1978" s="80">
        <f>SUM(I1978:J1978)</f>
        <v>0</v>
      </c>
      <c r="L1978" s="80"/>
    </row>
    <row r="1979" spans="1:12" s="33" customFormat="1" ht="13.5" customHeight="1">
      <c r="A1979" s="410"/>
      <c r="C1979" s="96"/>
      <c r="D1979" s="447" t="s">
        <v>38</v>
      </c>
      <c r="E1979" s="447"/>
      <c r="F1979" s="447"/>
      <c r="G1979" s="447"/>
      <c r="H1979" s="447"/>
      <c r="I1979" s="254">
        <f>SUM(I1980:I1985)</f>
        <v>14939</v>
      </c>
      <c r="J1979" s="254">
        <f>SUM(J1980:J1985)</f>
        <v>1242</v>
      </c>
      <c r="K1979" s="254">
        <f>SUM(K1980:K1985)</f>
        <v>16181</v>
      </c>
      <c r="L1979" s="80"/>
    </row>
    <row r="1980" spans="1:12" s="33" customFormat="1" ht="13.5" customHeight="1" hidden="1">
      <c r="A1980" s="410"/>
      <c r="C1980" s="96"/>
      <c r="D1980" s="446" t="s">
        <v>289</v>
      </c>
      <c r="E1980" s="446"/>
      <c r="F1980" s="446"/>
      <c r="G1980" s="446"/>
      <c r="H1980" s="446"/>
      <c r="I1980" s="29"/>
      <c r="J1980" s="80"/>
      <c r="K1980" s="80">
        <f aca="true" t="shared" si="133" ref="K1980:K1985">SUM(I1980:J1980)</f>
        <v>0</v>
      </c>
      <c r="L1980" s="80"/>
    </row>
    <row r="1981" spans="1:12" s="33" customFormat="1" ht="12.75" customHeight="1">
      <c r="A1981" s="410"/>
      <c r="C1981" s="151"/>
      <c r="D1981" s="444" t="s">
        <v>8</v>
      </c>
      <c r="E1981" s="448"/>
      <c r="F1981" s="448"/>
      <c r="G1981" s="448"/>
      <c r="H1981" s="448"/>
      <c r="I1981" s="29">
        <f>14939</f>
        <v>14939</v>
      </c>
      <c r="J1981" s="80">
        <f>1242</f>
        <v>1242</v>
      </c>
      <c r="K1981" s="80">
        <f t="shared" si="133"/>
        <v>16181</v>
      </c>
      <c r="L1981" s="80"/>
    </row>
    <row r="1982" spans="1:12" s="33" customFormat="1" ht="13.5" customHeight="1" hidden="1">
      <c r="A1982" s="410"/>
      <c r="C1982" s="149"/>
      <c r="D1982" s="444" t="s">
        <v>10</v>
      </c>
      <c r="E1982" s="444"/>
      <c r="F1982" s="444"/>
      <c r="G1982" s="444"/>
      <c r="H1982" s="444"/>
      <c r="I1982" s="29"/>
      <c r="J1982" s="80"/>
      <c r="K1982" s="80">
        <f t="shared" si="133"/>
        <v>0</v>
      </c>
      <c r="L1982" s="80"/>
    </row>
    <row r="1983" spans="1:12" s="33" customFormat="1" ht="13.5" customHeight="1" hidden="1">
      <c r="A1983" s="410"/>
      <c r="C1983" s="151"/>
      <c r="D1983" s="444" t="s">
        <v>9</v>
      </c>
      <c r="E1983" s="444"/>
      <c r="F1983" s="444"/>
      <c r="G1983" s="444"/>
      <c r="H1983" s="444"/>
      <c r="I1983" s="29"/>
      <c r="J1983" s="78"/>
      <c r="K1983" s="80">
        <f t="shared" si="133"/>
        <v>0</v>
      </c>
      <c r="L1983" s="80"/>
    </row>
    <row r="1984" spans="1:12" s="33" customFormat="1" ht="13.5" customHeight="1" hidden="1">
      <c r="A1984" s="410"/>
      <c r="C1984" s="149"/>
      <c r="D1984" s="444" t="s">
        <v>11</v>
      </c>
      <c r="E1984" s="444"/>
      <c r="F1984" s="444"/>
      <c r="G1984" s="444"/>
      <c r="H1984" s="444"/>
      <c r="I1984" s="29"/>
      <c r="J1984" s="80"/>
      <c r="K1984" s="80">
        <f t="shared" si="133"/>
        <v>0</v>
      </c>
      <c r="L1984" s="80"/>
    </row>
    <row r="1985" spans="1:12" s="33" customFormat="1" ht="13.5" customHeight="1" hidden="1">
      <c r="A1985" s="410"/>
      <c r="C1985" s="152"/>
      <c r="D1985" s="444" t="s">
        <v>12</v>
      </c>
      <c r="E1985" s="444"/>
      <c r="F1985" s="444"/>
      <c r="G1985" s="444"/>
      <c r="H1985" s="444"/>
      <c r="I1985" s="29"/>
      <c r="J1985" s="80"/>
      <c r="K1985" s="80">
        <f t="shared" si="133"/>
        <v>0</v>
      </c>
      <c r="L1985" s="175"/>
    </row>
    <row r="1986" spans="1:12" s="33" customFormat="1" ht="13.5" customHeight="1">
      <c r="A1986" s="410"/>
      <c r="C1986" s="152"/>
      <c r="D1986" s="445" t="s">
        <v>277</v>
      </c>
      <c r="E1986" s="445"/>
      <c r="F1986" s="445"/>
      <c r="G1986" s="445"/>
      <c r="H1986" s="445"/>
      <c r="I1986" s="77">
        <f>I1975-I1979</f>
        <v>0</v>
      </c>
      <c r="J1986" s="77">
        <f>J1975-J1979</f>
        <v>0</v>
      </c>
      <c r="K1986" s="77">
        <f>K1975-K1979</f>
        <v>0</v>
      </c>
      <c r="L1986" s="175"/>
    </row>
    <row r="1987" spans="1:12" s="33" customFormat="1" ht="12" customHeight="1">
      <c r="A1987" s="410"/>
      <c r="C1987" s="152"/>
      <c r="D1987" s="444" t="s">
        <v>279</v>
      </c>
      <c r="E1987" s="444"/>
      <c r="F1987" s="444"/>
      <c r="G1987" s="444"/>
      <c r="H1987" s="444"/>
      <c r="I1987" s="29">
        <f>I1988+I1989+I1990</f>
        <v>0</v>
      </c>
      <c r="J1987" s="29">
        <f>J1988+J1989+J1990</f>
        <v>0</v>
      </c>
      <c r="K1987" s="29">
        <f>K1988+K1989+K1990</f>
        <v>0</v>
      </c>
      <c r="L1987" s="175"/>
    </row>
    <row r="1988" spans="1:12" s="33" customFormat="1" ht="13.5" customHeight="1" hidden="1">
      <c r="A1988" s="410"/>
      <c r="C1988" s="152"/>
      <c r="D1988" s="444" t="s">
        <v>278</v>
      </c>
      <c r="E1988" s="444"/>
      <c r="F1988" s="444"/>
      <c r="G1988" s="444"/>
      <c r="H1988" s="444"/>
      <c r="I1988" s="29"/>
      <c r="J1988" s="77"/>
      <c r="K1988" s="80">
        <f>SUM(I1988:J1988)</f>
        <v>0</v>
      </c>
      <c r="L1988" s="175"/>
    </row>
    <row r="1989" spans="1:12" s="33" customFormat="1" ht="13.5" customHeight="1" hidden="1">
      <c r="A1989" s="410"/>
      <c r="C1989" s="152"/>
      <c r="D1989" s="444" t="s">
        <v>280</v>
      </c>
      <c r="E1989" s="444"/>
      <c r="F1989" s="444"/>
      <c r="G1989" s="444"/>
      <c r="H1989" s="444"/>
      <c r="I1989" s="29"/>
      <c r="J1989" s="77"/>
      <c r="K1989" s="80">
        <f>SUM(I1989:J1989)</f>
        <v>0</v>
      </c>
      <c r="L1989" s="175"/>
    </row>
    <row r="1990" spans="1:12" s="33" customFormat="1" ht="13.5" customHeight="1" hidden="1">
      <c r="A1990" s="410"/>
      <c r="C1990" s="152"/>
      <c r="D1990" s="444" t="s">
        <v>281</v>
      </c>
      <c r="E1990" s="444"/>
      <c r="F1990" s="444"/>
      <c r="G1990" s="444"/>
      <c r="H1990" s="444"/>
      <c r="I1990" s="29"/>
      <c r="J1990" s="77"/>
      <c r="K1990" s="80">
        <f>SUM(I1990:J1990)</f>
        <v>0</v>
      </c>
      <c r="L1990" s="175"/>
    </row>
    <row r="1991" spans="1:12" s="33" customFormat="1" ht="10.5" customHeight="1">
      <c r="A1991" s="410"/>
      <c r="C1991" s="149"/>
      <c r="D1991" s="81"/>
      <c r="E1991" s="81"/>
      <c r="F1991" s="81"/>
      <c r="G1991" s="81"/>
      <c r="H1991" s="81"/>
      <c r="I1991" s="29"/>
      <c r="J1991" s="80"/>
      <c r="K1991" s="80"/>
      <c r="L1991" s="80"/>
    </row>
    <row r="1992" spans="1:12" s="33" customFormat="1" ht="13.5" customHeight="1">
      <c r="A1992" s="410"/>
      <c r="C1992" s="153" t="s">
        <v>118</v>
      </c>
      <c r="D1992" s="449" t="s">
        <v>574</v>
      </c>
      <c r="E1992" s="449"/>
      <c r="F1992" s="449"/>
      <c r="G1992" s="449"/>
      <c r="H1992" s="449"/>
      <c r="I1992" s="129"/>
      <c r="J1992" s="127"/>
      <c r="K1992" s="127"/>
      <c r="L1992" s="127"/>
    </row>
    <row r="1993" spans="1:12" s="33" customFormat="1" ht="13.5" customHeight="1">
      <c r="A1993" s="410"/>
      <c r="C1993" s="149"/>
      <c r="D1993" s="447" t="s">
        <v>37</v>
      </c>
      <c r="E1993" s="447"/>
      <c r="F1993" s="447"/>
      <c r="G1993" s="447"/>
      <c r="H1993" s="447"/>
      <c r="I1993" s="77">
        <f>SUM(I1994:I1996)</f>
        <v>23322</v>
      </c>
      <c r="J1993" s="77">
        <f>SUM(J1994:J1996)</f>
        <v>-1013</v>
      </c>
      <c r="K1993" s="77">
        <f>SUM(K1994:K1996)</f>
        <v>22309</v>
      </c>
      <c r="L1993" s="80"/>
    </row>
    <row r="1994" spans="1:12" s="33" customFormat="1" ht="13.5" customHeight="1">
      <c r="A1994" s="410"/>
      <c r="C1994" s="149"/>
      <c r="D1994" s="446" t="s">
        <v>5</v>
      </c>
      <c r="E1994" s="446"/>
      <c r="F1994" s="446"/>
      <c r="G1994" s="446"/>
      <c r="H1994" s="446"/>
      <c r="I1994" s="29">
        <f>11537</f>
        <v>11537</v>
      </c>
      <c r="J1994" s="80">
        <f>-1013</f>
        <v>-1013</v>
      </c>
      <c r="K1994" s="80">
        <f>SUM(I1994:J1994)</f>
        <v>10524</v>
      </c>
      <c r="L1994" s="80"/>
    </row>
    <row r="1995" spans="1:12" s="33" customFormat="1" ht="13.5" customHeight="1">
      <c r="A1995" s="410"/>
      <c r="C1995" s="149"/>
      <c r="D1995" s="446" t="s">
        <v>6</v>
      </c>
      <c r="E1995" s="446"/>
      <c r="F1995" s="446"/>
      <c r="G1995" s="446"/>
      <c r="H1995" s="446"/>
      <c r="I1995" s="29">
        <f>11785</f>
        <v>11785</v>
      </c>
      <c r="J1995" s="80"/>
      <c r="K1995" s="80">
        <f>SUM(I1995:J1995)</f>
        <v>11785</v>
      </c>
      <c r="L1995" s="80"/>
    </row>
    <row r="1996" spans="1:12" s="33" customFormat="1" ht="13.5" customHeight="1" hidden="1">
      <c r="A1996" s="410"/>
      <c r="C1996" s="149"/>
      <c r="D1996" s="446" t="s">
        <v>7</v>
      </c>
      <c r="E1996" s="446"/>
      <c r="F1996" s="446"/>
      <c r="G1996" s="446"/>
      <c r="H1996" s="446"/>
      <c r="I1996" s="29"/>
      <c r="J1996" s="80"/>
      <c r="K1996" s="80">
        <f>SUM(I1996:J1996)</f>
        <v>0</v>
      </c>
      <c r="L1996" s="80"/>
    </row>
    <row r="1997" spans="1:12" s="33" customFormat="1" ht="13.5" customHeight="1">
      <c r="A1997" s="410"/>
      <c r="C1997" s="149"/>
      <c r="D1997" s="447" t="s">
        <v>38</v>
      </c>
      <c r="E1997" s="447"/>
      <c r="F1997" s="447"/>
      <c r="G1997" s="447"/>
      <c r="H1997" s="447"/>
      <c r="I1997" s="254">
        <f>SUM(I1998:I2003)</f>
        <v>23322</v>
      </c>
      <c r="J1997" s="254">
        <f>SUM(J1998:J2003)</f>
        <v>-1013</v>
      </c>
      <c r="K1997" s="254">
        <f>SUM(K1998:K2003)</f>
        <v>22309</v>
      </c>
      <c r="L1997" s="80"/>
    </row>
    <row r="1998" spans="1:12" s="33" customFormat="1" ht="13.5" customHeight="1">
      <c r="A1998" s="410"/>
      <c r="C1998" s="149"/>
      <c r="D1998" s="446" t="s">
        <v>289</v>
      </c>
      <c r="E1998" s="446"/>
      <c r="F1998" s="446"/>
      <c r="G1998" s="446"/>
      <c r="H1998" s="446"/>
      <c r="I1998" s="29">
        <f>7344</f>
        <v>7344</v>
      </c>
      <c r="J1998" s="80">
        <f>437-437</f>
        <v>0</v>
      </c>
      <c r="K1998" s="80">
        <f aca="true" t="shared" si="134" ref="K1998:K2003">SUM(I1998:J1998)</f>
        <v>7344</v>
      </c>
      <c r="L1998" s="80"/>
    </row>
    <row r="1999" spans="1:12" s="33" customFormat="1" ht="12.75" customHeight="1">
      <c r="A1999" s="410"/>
      <c r="C1999" s="149"/>
      <c r="D1999" s="444" t="s">
        <v>8</v>
      </c>
      <c r="E1999" s="448"/>
      <c r="F1999" s="448"/>
      <c r="G1999" s="448"/>
      <c r="H1999" s="448"/>
      <c r="I1999" s="29">
        <f>15978</f>
        <v>15978</v>
      </c>
      <c r="J1999" s="80">
        <f>-1450+437</f>
        <v>-1013</v>
      </c>
      <c r="K1999" s="80">
        <f t="shared" si="134"/>
        <v>14965</v>
      </c>
      <c r="L1999" s="80"/>
    </row>
    <row r="2000" spans="1:12" s="33" customFormat="1" ht="13.5" customHeight="1" hidden="1">
      <c r="A2000" s="410"/>
      <c r="C2000" s="149"/>
      <c r="D2000" s="444" t="s">
        <v>10</v>
      </c>
      <c r="E2000" s="444"/>
      <c r="F2000" s="444"/>
      <c r="G2000" s="444"/>
      <c r="H2000" s="444"/>
      <c r="I2000" s="29"/>
      <c r="J2000" s="80"/>
      <c r="K2000" s="80">
        <f t="shared" si="134"/>
        <v>0</v>
      </c>
      <c r="L2000" s="80"/>
    </row>
    <row r="2001" spans="1:12" s="33" customFormat="1" ht="13.5" customHeight="1" hidden="1">
      <c r="A2001" s="410"/>
      <c r="C2001" s="151"/>
      <c r="D2001" s="444" t="s">
        <v>9</v>
      </c>
      <c r="E2001" s="444"/>
      <c r="F2001" s="444"/>
      <c r="G2001" s="444"/>
      <c r="H2001" s="444"/>
      <c r="I2001" s="29"/>
      <c r="J2001" s="77"/>
      <c r="K2001" s="80">
        <f t="shared" si="134"/>
        <v>0</v>
      </c>
      <c r="L2001" s="80"/>
    </row>
    <row r="2002" spans="1:12" s="33" customFormat="1" ht="13.5" customHeight="1" hidden="1">
      <c r="A2002" s="410"/>
      <c r="C2002" s="149"/>
      <c r="D2002" s="444" t="s">
        <v>11</v>
      </c>
      <c r="E2002" s="444"/>
      <c r="F2002" s="444"/>
      <c r="G2002" s="444"/>
      <c r="H2002" s="444"/>
      <c r="I2002" s="29"/>
      <c r="J2002" s="80"/>
      <c r="K2002" s="80">
        <f t="shared" si="134"/>
        <v>0</v>
      </c>
      <c r="L2002" s="80"/>
    </row>
    <row r="2003" spans="1:12" s="33" customFormat="1" ht="13.5" customHeight="1" hidden="1">
      <c r="A2003" s="410"/>
      <c r="C2003" s="152"/>
      <c r="D2003" s="444" t="s">
        <v>12</v>
      </c>
      <c r="E2003" s="444"/>
      <c r="F2003" s="444"/>
      <c r="G2003" s="444"/>
      <c r="H2003" s="444"/>
      <c r="I2003" s="29"/>
      <c r="J2003" s="80"/>
      <c r="K2003" s="80">
        <f t="shared" si="134"/>
        <v>0</v>
      </c>
      <c r="L2003" s="175"/>
    </row>
    <row r="2004" spans="1:12" s="33" customFormat="1" ht="13.5" customHeight="1">
      <c r="A2004" s="410"/>
      <c r="C2004" s="152"/>
      <c r="D2004" s="445" t="s">
        <v>277</v>
      </c>
      <c r="E2004" s="445"/>
      <c r="F2004" s="445"/>
      <c r="G2004" s="445"/>
      <c r="H2004" s="445"/>
      <c r="I2004" s="77">
        <f>I1993-I1997</f>
        <v>0</v>
      </c>
      <c r="J2004" s="77">
        <f>J1993-J1997</f>
        <v>0</v>
      </c>
      <c r="K2004" s="77">
        <f>K1993-K1997</f>
        <v>0</v>
      </c>
      <c r="L2004" s="175"/>
    </row>
    <row r="2005" spans="1:12" s="33" customFormat="1" ht="13.5" customHeight="1">
      <c r="A2005" s="410"/>
      <c r="C2005" s="152"/>
      <c r="D2005" s="444" t="s">
        <v>279</v>
      </c>
      <c r="E2005" s="444"/>
      <c r="F2005" s="444"/>
      <c r="G2005" s="444"/>
      <c r="H2005" s="444"/>
      <c r="I2005" s="29">
        <f>I2006+I2007+I2008</f>
        <v>0</v>
      </c>
      <c r="J2005" s="29">
        <f>J2006+J2007+J2008</f>
        <v>0</v>
      </c>
      <c r="K2005" s="29">
        <f>K2006+K2007+K2008</f>
        <v>0</v>
      </c>
      <c r="L2005" s="175"/>
    </row>
    <row r="2006" spans="1:12" s="33" customFormat="1" ht="0.75" customHeight="1" hidden="1">
      <c r="A2006" s="410"/>
      <c r="C2006" s="152"/>
      <c r="D2006" s="444" t="s">
        <v>278</v>
      </c>
      <c r="E2006" s="444"/>
      <c r="F2006" s="444"/>
      <c r="G2006" s="444"/>
      <c r="H2006" s="444"/>
      <c r="I2006" s="29"/>
      <c r="J2006" s="77"/>
      <c r="K2006" s="80">
        <f>SUM(I2006:J2006)</f>
        <v>0</v>
      </c>
      <c r="L2006" s="175"/>
    </row>
    <row r="2007" spans="1:12" s="33" customFormat="1" ht="13.5" customHeight="1" hidden="1">
      <c r="A2007" s="410"/>
      <c r="C2007" s="152"/>
      <c r="D2007" s="444" t="s">
        <v>280</v>
      </c>
      <c r="E2007" s="444"/>
      <c r="F2007" s="444"/>
      <c r="G2007" s="444"/>
      <c r="H2007" s="444"/>
      <c r="I2007" s="29"/>
      <c r="J2007" s="77"/>
      <c r="K2007" s="80">
        <f>SUM(I2007:J2007)</f>
        <v>0</v>
      </c>
      <c r="L2007" s="175"/>
    </row>
    <row r="2008" spans="1:12" s="33" customFormat="1" ht="13.5" customHeight="1" hidden="1">
      <c r="A2008" s="410"/>
      <c r="C2008" s="152"/>
      <c r="D2008" s="444" t="s">
        <v>281</v>
      </c>
      <c r="E2008" s="444"/>
      <c r="F2008" s="444"/>
      <c r="G2008" s="444"/>
      <c r="H2008" s="444"/>
      <c r="I2008" s="29"/>
      <c r="J2008" s="77"/>
      <c r="K2008" s="80">
        <f>SUM(I2008:J2008)</f>
        <v>0</v>
      </c>
      <c r="L2008" s="175"/>
    </row>
    <row r="2009" spans="1:12" s="33" customFormat="1" ht="9" customHeight="1">
      <c r="A2009" s="410"/>
      <c r="C2009" s="152"/>
      <c r="D2009" s="85"/>
      <c r="E2009" s="85"/>
      <c r="F2009" s="85"/>
      <c r="G2009" s="85"/>
      <c r="H2009" s="85"/>
      <c r="I2009" s="29"/>
      <c r="J2009" s="77"/>
      <c r="K2009" s="80"/>
      <c r="L2009" s="175"/>
    </row>
    <row r="2010" spans="1:12" s="33" customFormat="1" ht="13.5" customHeight="1">
      <c r="A2010" s="410"/>
      <c r="C2010" s="153" t="s">
        <v>118</v>
      </c>
      <c r="D2010" s="449" t="s">
        <v>589</v>
      </c>
      <c r="E2010" s="449"/>
      <c r="F2010" s="449"/>
      <c r="G2010" s="449"/>
      <c r="H2010" s="449"/>
      <c r="I2010" s="129"/>
      <c r="J2010" s="127"/>
      <c r="K2010" s="127"/>
      <c r="L2010" s="175"/>
    </row>
    <row r="2011" spans="1:12" s="33" customFormat="1" ht="11.25" customHeight="1">
      <c r="A2011" s="410"/>
      <c r="C2011" s="149"/>
      <c r="D2011" s="447" t="s">
        <v>37</v>
      </c>
      <c r="E2011" s="447"/>
      <c r="F2011" s="447"/>
      <c r="G2011" s="447"/>
      <c r="H2011" s="447"/>
      <c r="I2011" s="77">
        <f>SUM(I2012:I2014)</f>
        <v>0</v>
      </c>
      <c r="J2011" s="77">
        <f>SUM(J2012:J2014)</f>
        <v>2528</v>
      </c>
      <c r="K2011" s="77">
        <f>SUM(K2012:K2014)</f>
        <v>2528</v>
      </c>
      <c r="L2011" s="175"/>
    </row>
    <row r="2012" spans="1:12" s="33" customFormat="1" ht="11.25" customHeight="1">
      <c r="A2012" s="410"/>
      <c r="C2012" s="149"/>
      <c r="D2012" s="446" t="s">
        <v>5</v>
      </c>
      <c r="E2012" s="446"/>
      <c r="F2012" s="446"/>
      <c r="G2012" s="446"/>
      <c r="H2012" s="446"/>
      <c r="I2012" s="29"/>
      <c r="J2012" s="80">
        <f>506-506</f>
        <v>0</v>
      </c>
      <c r="K2012" s="80">
        <f>SUM(I2012:J2012)</f>
        <v>0</v>
      </c>
      <c r="L2012" s="175"/>
    </row>
    <row r="2013" spans="1:12" s="33" customFormat="1" ht="11.25" customHeight="1">
      <c r="A2013" s="410"/>
      <c r="C2013" s="149"/>
      <c r="D2013" s="446" t="s">
        <v>6</v>
      </c>
      <c r="E2013" s="446"/>
      <c r="F2013" s="446"/>
      <c r="G2013" s="446"/>
      <c r="H2013" s="446"/>
      <c r="I2013" s="29"/>
      <c r="J2013" s="80">
        <f>2528-506+506</f>
        <v>2528</v>
      </c>
      <c r="K2013" s="80">
        <f>SUM(I2013:J2013)</f>
        <v>2528</v>
      </c>
      <c r="L2013" s="175"/>
    </row>
    <row r="2014" spans="1:12" s="33" customFormat="1" ht="13.5" customHeight="1" hidden="1">
      <c r="A2014" s="410"/>
      <c r="C2014" s="149"/>
      <c r="D2014" s="446" t="s">
        <v>7</v>
      </c>
      <c r="E2014" s="446"/>
      <c r="F2014" s="446"/>
      <c r="G2014" s="446"/>
      <c r="H2014" s="446"/>
      <c r="I2014" s="29"/>
      <c r="J2014" s="80"/>
      <c r="K2014" s="80">
        <f>SUM(I2014:J2014)</f>
        <v>0</v>
      </c>
      <c r="L2014" s="175"/>
    </row>
    <row r="2015" spans="1:12" s="33" customFormat="1" ht="13.5" customHeight="1">
      <c r="A2015" s="410"/>
      <c r="C2015" s="149"/>
      <c r="D2015" s="447" t="s">
        <v>38</v>
      </c>
      <c r="E2015" s="447"/>
      <c r="F2015" s="447"/>
      <c r="G2015" s="447"/>
      <c r="H2015" s="447"/>
      <c r="I2015" s="254">
        <f>SUM(I2016:I2021)</f>
        <v>0</v>
      </c>
      <c r="J2015" s="254">
        <f>SUM(J2016:J2021)</f>
        <v>2528</v>
      </c>
      <c r="K2015" s="254">
        <f>SUM(K2016:K2021)</f>
        <v>2528</v>
      </c>
      <c r="L2015" s="175"/>
    </row>
    <row r="2016" spans="1:12" s="33" customFormat="1" ht="13.5" customHeight="1">
      <c r="A2016" s="410"/>
      <c r="C2016" s="149"/>
      <c r="D2016" s="446" t="s">
        <v>289</v>
      </c>
      <c r="E2016" s="446"/>
      <c r="F2016" s="446"/>
      <c r="G2016" s="446"/>
      <c r="H2016" s="446"/>
      <c r="I2016" s="29"/>
      <c r="J2016" s="80">
        <v>1992</v>
      </c>
      <c r="K2016" s="80">
        <f aca="true" t="shared" si="135" ref="K2016:K2021">SUM(I2016:J2016)</f>
        <v>1992</v>
      </c>
      <c r="L2016" s="175"/>
    </row>
    <row r="2017" spans="1:12" s="33" customFormat="1" ht="12.75" customHeight="1">
      <c r="A2017" s="410"/>
      <c r="C2017" s="149"/>
      <c r="D2017" s="444" t="s">
        <v>8</v>
      </c>
      <c r="E2017" s="448"/>
      <c r="F2017" s="448"/>
      <c r="G2017" s="448"/>
      <c r="H2017" s="448"/>
      <c r="I2017" s="29"/>
      <c r="J2017" s="80">
        <v>536</v>
      </c>
      <c r="K2017" s="80">
        <f t="shared" si="135"/>
        <v>536</v>
      </c>
      <c r="L2017" s="175"/>
    </row>
    <row r="2018" spans="1:12" s="33" customFormat="1" ht="13.5" customHeight="1" hidden="1">
      <c r="A2018" s="410"/>
      <c r="C2018" s="149"/>
      <c r="D2018" s="444" t="s">
        <v>10</v>
      </c>
      <c r="E2018" s="444"/>
      <c r="F2018" s="444"/>
      <c r="G2018" s="444"/>
      <c r="H2018" s="444"/>
      <c r="I2018" s="29"/>
      <c r="J2018" s="80"/>
      <c r="K2018" s="80">
        <f t="shared" si="135"/>
        <v>0</v>
      </c>
      <c r="L2018" s="175"/>
    </row>
    <row r="2019" spans="1:12" s="33" customFormat="1" ht="13.5" customHeight="1" hidden="1">
      <c r="A2019" s="410"/>
      <c r="C2019" s="151"/>
      <c r="D2019" s="444" t="s">
        <v>9</v>
      </c>
      <c r="E2019" s="444"/>
      <c r="F2019" s="444"/>
      <c r="G2019" s="444"/>
      <c r="H2019" s="444"/>
      <c r="I2019" s="29"/>
      <c r="J2019" s="77"/>
      <c r="K2019" s="80">
        <f t="shared" si="135"/>
        <v>0</v>
      </c>
      <c r="L2019" s="175"/>
    </row>
    <row r="2020" spans="1:12" s="33" customFormat="1" ht="13.5" customHeight="1" hidden="1">
      <c r="A2020" s="410"/>
      <c r="C2020" s="149"/>
      <c r="D2020" s="444" t="s">
        <v>11</v>
      </c>
      <c r="E2020" s="444"/>
      <c r="F2020" s="444"/>
      <c r="G2020" s="444"/>
      <c r="H2020" s="444"/>
      <c r="I2020" s="29"/>
      <c r="J2020" s="80"/>
      <c r="K2020" s="80">
        <f t="shared" si="135"/>
        <v>0</v>
      </c>
      <c r="L2020" s="175"/>
    </row>
    <row r="2021" spans="1:12" s="33" customFormat="1" ht="13.5" customHeight="1" hidden="1">
      <c r="A2021" s="410"/>
      <c r="C2021" s="152"/>
      <c r="D2021" s="444" t="s">
        <v>12</v>
      </c>
      <c r="E2021" s="444"/>
      <c r="F2021" s="444"/>
      <c r="G2021" s="444"/>
      <c r="H2021" s="444"/>
      <c r="I2021" s="29"/>
      <c r="J2021" s="80"/>
      <c r="K2021" s="80">
        <f t="shared" si="135"/>
        <v>0</v>
      </c>
      <c r="L2021" s="175"/>
    </row>
    <row r="2022" spans="1:12" s="33" customFormat="1" ht="13.5" customHeight="1">
      <c r="A2022" s="410"/>
      <c r="C2022" s="152"/>
      <c r="D2022" s="445" t="s">
        <v>277</v>
      </c>
      <c r="E2022" s="445"/>
      <c r="F2022" s="445"/>
      <c r="G2022" s="445"/>
      <c r="H2022" s="445"/>
      <c r="I2022" s="77">
        <f>I2011-I2015</f>
        <v>0</v>
      </c>
      <c r="J2022" s="77">
        <f>J2011-J2015</f>
        <v>0</v>
      </c>
      <c r="K2022" s="77">
        <f>K2011-K2015</f>
        <v>0</v>
      </c>
      <c r="L2022" s="175"/>
    </row>
    <row r="2023" spans="1:12" s="33" customFormat="1" ht="13.5" customHeight="1">
      <c r="A2023" s="410"/>
      <c r="C2023" s="152"/>
      <c r="D2023" s="444" t="s">
        <v>279</v>
      </c>
      <c r="E2023" s="444"/>
      <c r="F2023" s="444"/>
      <c r="G2023" s="444"/>
      <c r="H2023" s="444"/>
      <c r="I2023" s="29">
        <f>I2024+I2025+I2026</f>
        <v>0</v>
      </c>
      <c r="J2023" s="29">
        <f>J2024+J2025+J2026</f>
        <v>0</v>
      </c>
      <c r="K2023" s="29">
        <f>K2024+K2025+K2026</f>
        <v>0</v>
      </c>
      <c r="L2023" s="175"/>
    </row>
    <row r="2024" spans="1:12" s="33" customFormat="1" ht="13.5" customHeight="1" hidden="1">
      <c r="A2024" s="410"/>
      <c r="C2024" s="152"/>
      <c r="D2024" s="444" t="s">
        <v>278</v>
      </c>
      <c r="E2024" s="444"/>
      <c r="F2024" s="444"/>
      <c r="G2024" s="444"/>
      <c r="H2024" s="444"/>
      <c r="I2024" s="29"/>
      <c r="J2024" s="77"/>
      <c r="K2024" s="80">
        <f>SUM(I2024:J2024)</f>
        <v>0</v>
      </c>
      <c r="L2024" s="175"/>
    </row>
    <row r="2025" spans="1:12" s="33" customFormat="1" ht="13.5" customHeight="1" hidden="1">
      <c r="A2025" s="410"/>
      <c r="C2025" s="152"/>
      <c r="D2025" s="444" t="s">
        <v>280</v>
      </c>
      <c r="E2025" s="444"/>
      <c r="F2025" s="444"/>
      <c r="G2025" s="444"/>
      <c r="H2025" s="444"/>
      <c r="I2025" s="29"/>
      <c r="J2025" s="77"/>
      <c r="K2025" s="80">
        <f>SUM(I2025:J2025)</f>
        <v>0</v>
      </c>
      <c r="L2025" s="175"/>
    </row>
    <row r="2026" spans="1:12" s="33" customFormat="1" ht="13.5" customHeight="1" hidden="1">
      <c r="A2026" s="410"/>
      <c r="C2026" s="152"/>
      <c r="D2026" s="444" t="s">
        <v>281</v>
      </c>
      <c r="E2026" s="444"/>
      <c r="F2026" s="444"/>
      <c r="G2026" s="444"/>
      <c r="H2026" s="444"/>
      <c r="I2026" s="29"/>
      <c r="J2026" s="77"/>
      <c r="K2026" s="80">
        <f>SUM(I2026:J2026)</f>
        <v>0</v>
      </c>
      <c r="L2026" s="175"/>
    </row>
    <row r="2027" spans="1:12" s="33" customFormat="1" ht="3.75" customHeight="1">
      <c r="A2027" s="410"/>
      <c r="C2027" s="152"/>
      <c r="D2027" s="85"/>
      <c r="E2027" s="85"/>
      <c r="F2027" s="85"/>
      <c r="G2027" s="85"/>
      <c r="H2027" s="85"/>
      <c r="I2027" s="29"/>
      <c r="J2027" s="77"/>
      <c r="K2027" s="80"/>
      <c r="L2027" s="175"/>
    </row>
    <row r="2028" spans="1:13" s="6" customFormat="1" ht="18.75" customHeight="1">
      <c r="A2028" s="409">
        <f>'2.pielikums'!J52-'3.pielik.'!K2028</f>
        <v>0</v>
      </c>
      <c r="C2028" s="150" t="s">
        <v>74</v>
      </c>
      <c r="D2028" s="437" t="s">
        <v>44</v>
      </c>
      <c r="E2028" s="437"/>
      <c r="F2028" s="437"/>
      <c r="G2028" s="437"/>
      <c r="H2028" s="437"/>
      <c r="I2028" s="134">
        <f>I2035+I2541+I2614+I2669+I2743+I2781+I2800+I2819+I2838+I2724+I2762</f>
        <v>26360672</v>
      </c>
      <c r="J2028" s="134">
        <f>J2035+J2541+J2614+J2669+J2743+J2781+J2800+J2819+J2838+J2724+J2762</f>
        <v>1576697</v>
      </c>
      <c r="K2028" s="134">
        <f>K2035+K2541+K2614+K2669+K2743+K2781+K2800+K2819+K2838+K2724+K2762</f>
        <v>27937369</v>
      </c>
      <c r="L2028" s="93"/>
      <c r="M2028" s="91"/>
    </row>
    <row r="2029" spans="1:12" s="95" customFormat="1" ht="6" customHeight="1">
      <c r="A2029" s="407"/>
      <c r="C2029" s="162"/>
      <c r="D2029" s="90"/>
      <c r="E2029" s="90"/>
      <c r="F2029" s="90"/>
      <c r="G2029" s="90"/>
      <c r="H2029" s="90"/>
      <c r="I2029" s="106"/>
      <c r="J2029" s="80"/>
      <c r="K2029" s="80"/>
      <c r="L2029" s="127"/>
    </row>
    <row r="2030" spans="1:13" s="15" customFormat="1" ht="11.25" customHeight="1">
      <c r="A2030" s="407"/>
      <c r="C2030" s="142" t="s">
        <v>74</v>
      </c>
      <c r="D2030" s="450" t="s">
        <v>45</v>
      </c>
      <c r="E2030" s="450"/>
      <c r="F2030" s="450"/>
      <c r="G2030" s="450"/>
      <c r="H2030" s="450"/>
      <c r="I2030" s="17"/>
      <c r="J2030" s="126"/>
      <c r="K2030" s="126"/>
      <c r="L2030" s="127"/>
      <c r="M2030" s="95"/>
    </row>
    <row r="2031" spans="1:13" s="15" customFormat="1" ht="13.5" customHeight="1">
      <c r="A2031" s="407"/>
      <c r="C2031" s="154"/>
      <c r="D2031" s="447" t="s">
        <v>37</v>
      </c>
      <c r="E2031" s="447"/>
      <c r="F2031" s="447"/>
      <c r="G2031" s="447"/>
      <c r="H2031" s="447"/>
      <c r="I2031" s="77">
        <f>SUM(I2032:I2034)</f>
        <v>16815795</v>
      </c>
      <c r="J2031" s="77">
        <f>SUM(J2032:J2034)</f>
        <v>1548224</v>
      </c>
      <c r="K2031" s="77">
        <f>SUM(K2032:K2034)</f>
        <v>18364019</v>
      </c>
      <c r="L2031" s="127"/>
      <c r="M2031" s="95"/>
    </row>
    <row r="2032" spans="1:13" s="15" customFormat="1" ht="12" customHeight="1">
      <c r="A2032" s="407"/>
      <c r="C2032" s="154"/>
      <c r="D2032" s="446" t="s">
        <v>5</v>
      </c>
      <c r="E2032" s="446"/>
      <c r="F2032" s="446"/>
      <c r="G2032" s="446"/>
      <c r="H2032" s="446"/>
      <c r="I2032" s="29">
        <f aca="true" t="shared" si="136" ref="I2032:K2034">I2050+I2212+I2374+I2482+I2501+I2519</f>
        <v>8544064</v>
      </c>
      <c r="J2032" s="29">
        <f t="shared" si="136"/>
        <v>362411</v>
      </c>
      <c r="K2032" s="29">
        <f t="shared" si="136"/>
        <v>8906475</v>
      </c>
      <c r="L2032" s="127"/>
      <c r="M2032" s="95"/>
    </row>
    <row r="2033" spans="1:13" s="15" customFormat="1" ht="12" customHeight="1">
      <c r="A2033" s="407"/>
      <c r="C2033" s="154"/>
      <c r="D2033" s="446" t="s">
        <v>6</v>
      </c>
      <c r="E2033" s="446"/>
      <c r="F2033" s="446"/>
      <c r="G2033" s="446"/>
      <c r="H2033" s="446"/>
      <c r="I2033" s="29">
        <f t="shared" si="136"/>
        <v>1200486</v>
      </c>
      <c r="J2033" s="29">
        <f t="shared" si="136"/>
        <v>16070</v>
      </c>
      <c r="K2033" s="29">
        <f t="shared" si="136"/>
        <v>1216556</v>
      </c>
      <c r="L2033" s="127"/>
      <c r="M2033" s="95"/>
    </row>
    <row r="2034" spans="1:13" s="15" customFormat="1" ht="12" customHeight="1">
      <c r="A2034" s="407"/>
      <c r="C2034" s="154"/>
      <c r="D2034" s="446" t="s">
        <v>7</v>
      </c>
      <c r="E2034" s="446"/>
      <c r="F2034" s="446"/>
      <c r="G2034" s="446"/>
      <c r="H2034" s="446"/>
      <c r="I2034" s="29">
        <f t="shared" si="136"/>
        <v>7071245</v>
      </c>
      <c r="J2034" s="29">
        <f t="shared" si="136"/>
        <v>1169743</v>
      </c>
      <c r="K2034" s="29">
        <f t="shared" si="136"/>
        <v>8240988</v>
      </c>
      <c r="L2034" s="127"/>
      <c r="M2034" s="95"/>
    </row>
    <row r="2035" spans="1:13" s="15" customFormat="1" ht="13.5" customHeight="1">
      <c r="A2035" s="407"/>
      <c r="C2035" s="154"/>
      <c r="D2035" s="447" t="s">
        <v>38</v>
      </c>
      <c r="E2035" s="447"/>
      <c r="F2035" s="447"/>
      <c r="G2035" s="447"/>
      <c r="H2035" s="447"/>
      <c r="I2035" s="253">
        <f>SUM(I2036:I2041)</f>
        <v>17142608</v>
      </c>
      <c r="J2035" s="253">
        <f>SUM(J2036:J2041)</f>
        <v>1548224</v>
      </c>
      <c r="K2035" s="253">
        <f>SUM(K2036:K2041)</f>
        <v>18690832</v>
      </c>
      <c r="L2035" s="127"/>
      <c r="M2035" s="95"/>
    </row>
    <row r="2036" spans="1:13" s="15" customFormat="1" ht="11.25" customHeight="1">
      <c r="A2036" s="407"/>
      <c r="C2036" s="154"/>
      <c r="D2036" s="446" t="s">
        <v>289</v>
      </c>
      <c r="E2036" s="446"/>
      <c r="F2036" s="446"/>
      <c r="G2036" s="446"/>
      <c r="H2036" s="446"/>
      <c r="I2036" s="29">
        <f aca="true" t="shared" si="137" ref="I2036:K2041">I2054+I2216+I2378+I2486+I2505+I2523</f>
        <v>12493787</v>
      </c>
      <c r="J2036" s="29">
        <f t="shared" si="137"/>
        <v>1446029</v>
      </c>
      <c r="K2036" s="29">
        <f t="shared" si="137"/>
        <v>13939816</v>
      </c>
      <c r="L2036" s="127"/>
      <c r="M2036" s="95"/>
    </row>
    <row r="2037" spans="1:13" s="15" customFormat="1" ht="11.25" customHeight="1">
      <c r="A2037" s="407"/>
      <c r="C2037" s="154"/>
      <c r="D2037" s="444" t="s">
        <v>8</v>
      </c>
      <c r="E2037" s="448"/>
      <c r="F2037" s="448"/>
      <c r="G2037" s="448"/>
      <c r="H2037" s="448"/>
      <c r="I2037" s="29">
        <f t="shared" si="137"/>
        <v>3538556</v>
      </c>
      <c r="J2037" s="29">
        <f t="shared" si="137"/>
        <v>64214</v>
      </c>
      <c r="K2037" s="29">
        <f t="shared" si="137"/>
        <v>3602770</v>
      </c>
      <c r="L2037" s="127"/>
      <c r="M2037" s="95"/>
    </row>
    <row r="2038" spans="1:13" s="15" customFormat="1" ht="13.5" customHeight="1" hidden="1">
      <c r="A2038" s="407"/>
      <c r="C2038" s="154"/>
      <c r="D2038" s="444" t="s">
        <v>10</v>
      </c>
      <c r="E2038" s="444"/>
      <c r="F2038" s="444"/>
      <c r="G2038" s="444"/>
      <c r="H2038" s="444"/>
      <c r="I2038" s="29">
        <f t="shared" si="137"/>
        <v>0</v>
      </c>
      <c r="J2038" s="29">
        <f t="shared" si="137"/>
        <v>0</v>
      </c>
      <c r="K2038" s="29">
        <f t="shared" si="137"/>
        <v>0</v>
      </c>
      <c r="L2038" s="127"/>
      <c r="M2038" s="95"/>
    </row>
    <row r="2039" spans="1:13" s="79" customFormat="1" ht="13.5" customHeight="1">
      <c r="A2039" s="407"/>
      <c r="C2039" s="151"/>
      <c r="D2039" s="444" t="s">
        <v>9</v>
      </c>
      <c r="E2039" s="444"/>
      <c r="F2039" s="444"/>
      <c r="G2039" s="444"/>
      <c r="H2039" s="444"/>
      <c r="I2039" s="29">
        <f t="shared" si="137"/>
        <v>552</v>
      </c>
      <c r="J2039" s="29">
        <f t="shared" si="137"/>
        <v>0</v>
      </c>
      <c r="K2039" s="29">
        <f t="shared" si="137"/>
        <v>552</v>
      </c>
      <c r="L2039" s="80"/>
      <c r="M2039" s="82"/>
    </row>
    <row r="2040" spans="1:12" s="82" customFormat="1" ht="13.5" customHeight="1">
      <c r="A2040" s="407"/>
      <c r="C2040" s="149"/>
      <c r="D2040" s="444" t="s">
        <v>11</v>
      </c>
      <c r="E2040" s="444"/>
      <c r="F2040" s="444"/>
      <c r="G2040" s="444"/>
      <c r="H2040" s="444"/>
      <c r="I2040" s="29">
        <f t="shared" si="137"/>
        <v>731238</v>
      </c>
      <c r="J2040" s="29">
        <f t="shared" si="137"/>
        <v>27445</v>
      </c>
      <c r="K2040" s="29">
        <f t="shared" si="137"/>
        <v>758683</v>
      </c>
      <c r="L2040" s="80"/>
    </row>
    <row r="2041" spans="1:12" s="82" customFormat="1" ht="13.5" customHeight="1">
      <c r="A2041" s="407"/>
      <c r="C2041" s="149"/>
      <c r="D2041" s="444" t="s">
        <v>12</v>
      </c>
      <c r="E2041" s="444"/>
      <c r="F2041" s="444"/>
      <c r="G2041" s="444"/>
      <c r="H2041" s="444"/>
      <c r="I2041" s="29">
        <f t="shared" si="137"/>
        <v>378475</v>
      </c>
      <c r="J2041" s="29">
        <f t="shared" si="137"/>
        <v>10536</v>
      </c>
      <c r="K2041" s="29">
        <f t="shared" si="137"/>
        <v>389011</v>
      </c>
      <c r="L2041" s="80"/>
    </row>
    <row r="2042" spans="1:12" s="82" customFormat="1" ht="13.5" customHeight="1">
      <c r="A2042" s="407"/>
      <c r="C2042" s="149"/>
      <c r="D2042" s="445" t="s">
        <v>277</v>
      </c>
      <c r="E2042" s="445"/>
      <c r="F2042" s="445"/>
      <c r="G2042" s="445"/>
      <c r="H2042" s="445"/>
      <c r="I2042" s="77">
        <f>I2031-I2035</f>
        <v>-326813</v>
      </c>
      <c r="J2042" s="77">
        <f>J2031-J2035</f>
        <v>0</v>
      </c>
      <c r="K2042" s="77">
        <f>K2031-K2035</f>
        <v>-326813</v>
      </c>
      <c r="L2042" s="80"/>
    </row>
    <row r="2043" spans="1:12" s="82" customFormat="1" ht="13.5" customHeight="1">
      <c r="A2043" s="407"/>
      <c r="C2043" s="149"/>
      <c r="D2043" s="444" t="s">
        <v>279</v>
      </c>
      <c r="E2043" s="444"/>
      <c r="F2043" s="444"/>
      <c r="G2043" s="444"/>
      <c r="H2043" s="444"/>
      <c r="I2043" s="29">
        <f>I2044+I2045+I2046</f>
        <v>326813</v>
      </c>
      <c r="J2043" s="29">
        <f>J2044+J2045+J2046</f>
        <v>0</v>
      </c>
      <c r="K2043" s="29">
        <f>K2044+K2045+K2046</f>
        <v>326813</v>
      </c>
      <c r="L2043" s="80"/>
    </row>
    <row r="2044" spans="1:12" s="82" customFormat="1" ht="13.5" customHeight="1">
      <c r="A2044" s="407"/>
      <c r="C2044" s="149"/>
      <c r="D2044" s="444" t="s">
        <v>278</v>
      </c>
      <c r="E2044" s="444"/>
      <c r="F2044" s="444"/>
      <c r="G2044" s="444"/>
      <c r="H2044" s="444"/>
      <c r="I2044" s="29">
        <f aca="true" t="shared" si="138" ref="I2044:K2046">I2062+I2224+I2386+I2494+I2513+I2531</f>
        <v>347097</v>
      </c>
      <c r="J2044" s="29">
        <f t="shared" si="138"/>
        <v>0</v>
      </c>
      <c r="K2044" s="29">
        <f t="shared" si="138"/>
        <v>347097</v>
      </c>
      <c r="L2044" s="80"/>
    </row>
    <row r="2045" spans="1:12" s="82" customFormat="1" ht="13.5" customHeight="1" hidden="1">
      <c r="A2045" s="407"/>
      <c r="C2045" s="149"/>
      <c r="D2045" s="444" t="s">
        <v>280</v>
      </c>
      <c r="E2045" s="444"/>
      <c r="F2045" s="444"/>
      <c r="G2045" s="444"/>
      <c r="H2045" s="444"/>
      <c r="I2045" s="29">
        <f t="shared" si="138"/>
        <v>0</v>
      </c>
      <c r="J2045" s="29">
        <f t="shared" si="138"/>
        <v>0</v>
      </c>
      <c r="K2045" s="29">
        <f t="shared" si="138"/>
        <v>0</v>
      </c>
      <c r="L2045" s="80"/>
    </row>
    <row r="2046" spans="1:12" s="82" customFormat="1" ht="13.5" customHeight="1">
      <c r="A2046" s="407"/>
      <c r="C2046" s="149"/>
      <c r="D2046" s="444" t="s">
        <v>281</v>
      </c>
      <c r="E2046" s="444"/>
      <c r="F2046" s="444"/>
      <c r="G2046" s="444"/>
      <c r="H2046" s="444"/>
      <c r="I2046" s="29">
        <f t="shared" si="138"/>
        <v>-20284</v>
      </c>
      <c r="J2046" s="29">
        <f t="shared" si="138"/>
        <v>0</v>
      </c>
      <c r="K2046" s="29">
        <f t="shared" si="138"/>
        <v>-20284</v>
      </c>
      <c r="L2046" s="80"/>
    </row>
    <row r="2047" spans="1:12" s="82" customFormat="1" ht="8.25" customHeight="1">
      <c r="A2047" s="407"/>
      <c r="C2047" s="149"/>
      <c r="D2047" s="446"/>
      <c r="E2047" s="446"/>
      <c r="F2047" s="446"/>
      <c r="G2047" s="446"/>
      <c r="H2047" s="446"/>
      <c r="I2047" s="29"/>
      <c r="J2047" s="29"/>
      <c r="K2047" s="29"/>
      <c r="L2047" s="80"/>
    </row>
    <row r="2048" spans="1:13" s="15" customFormat="1" ht="12.75" customHeight="1">
      <c r="A2048" s="407"/>
      <c r="C2048" s="166" t="s">
        <v>125</v>
      </c>
      <c r="D2048" s="439" t="s">
        <v>265</v>
      </c>
      <c r="E2048" s="439"/>
      <c r="F2048" s="439"/>
      <c r="G2048" s="439"/>
      <c r="H2048" s="439"/>
      <c r="I2048" s="17"/>
      <c r="J2048" s="126"/>
      <c r="K2048" s="126"/>
      <c r="L2048" s="127"/>
      <c r="M2048" s="95"/>
    </row>
    <row r="2049" spans="1:13" s="79" customFormat="1" ht="13.5" customHeight="1">
      <c r="A2049" s="407"/>
      <c r="C2049" s="151"/>
      <c r="D2049" s="447" t="s">
        <v>37</v>
      </c>
      <c r="E2049" s="447"/>
      <c r="F2049" s="447"/>
      <c r="G2049" s="447"/>
      <c r="H2049" s="447"/>
      <c r="I2049" s="77">
        <f>SUM(I2050:I2052)</f>
        <v>6506604</v>
      </c>
      <c r="J2049" s="77">
        <f>SUM(J2050:J2052)</f>
        <v>394704</v>
      </c>
      <c r="K2049" s="77">
        <f>SUM(K2050:K2052)</f>
        <v>6901308</v>
      </c>
      <c r="L2049" s="80"/>
      <c r="M2049" s="82"/>
    </row>
    <row r="2050" spans="1:13" s="79" customFormat="1" ht="12" customHeight="1">
      <c r="A2050" s="407"/>
      <c r="C2050" s="151"/>
      <c r="D2050" s="446" t="s">
        <v>5</v>
      </c>
      <c r="E2050" s="446"/>
      <c r="F2050" s="446"/>
      <c r="G2050" s="446"/>
      <c r="H2050" s="446"/>
      <c r="I2050" s="29">
        <f>I2068+I2086+I2122+I2140+I2158+I2176+I2194+I2104</f>
        <v>4581222</v>
      </c>
      <c r="J2050" s="29">
        <f>J2068+J2086+J2122+J2140+J2158+J2176+J2194+J2104</f>
        <v>191893</v>
      </c>
      <c r="K2050" s="29">
        <f>K2068+K2086+K2122+K2140+K2158+K2176+K2194+K2104</f>
        <v>4773115</v>
      </c>
      <c r="L2050" s="80"/>
      <c r="M2050" s="82"/>
    </row>
    <row r="2051" spans="1:13" s="79" customFormat="1" ht="12" customHeight="1">
      <c r="A2051" s="407"/>
      <c r="C2051" s="151"/>
      <c r="D2051" s="446" t="s">
        <v>6</v>
      </c>
      <c r="E2051" s="446"/>
      <c r="F2051" s="446"/>
      <c r="G2051" s="446"/>
      <c r="H2051" s="446"/>
      <c r="I2051" s="29">
        <f aca="true" t="shared" si="139" ref="I2051:K2052">I2069+I2087+I2123+I2141+I2159+I2177+I2195+I2105</f>
        <v>755979</v>
      </c>
      <c r="J2051" s="29">
        <f t="shared" si="139"/>
        <v>0</v>
      </c>
      <c r="K2051" s="29">
        <f t="shared" si="139"/>
        <v>755979</v>
      </c>
      <c r="L2051" s="80"/>
      <c r="M2051" s="82"/>
    </row>
    <row r="2052" spans="1:13" s="79" customFormat="1" ht="12" customHeight="1">
      <c r="A2052" s="407"/>
      <c r="C2052" s="151"/>
      <c r="D2052" s="446" t="s">
        <v>7</v>
      </c>
      <c r="E2052" s="446"/>
      <c r="F2052" s="446"/>
      <c r="G2052" s="446"/>
      <c r="H2052" s="446"/>
      <c r="I2052" s="29">
        <f t="shared" si="139"/>
        <v>1169403</v>
      </c>
      <c r="J2052" s="29">
        <f t="shared" si="139"/>
        <v>202811</v>
      </c>
      <c r="K2052" s="29">
        <f t="shared" si="139"/>
        <v>1372214</v>
      </c>
      <c r="L2052" s="80"/>
      <c r="M2052" s="82"/>
    </row>
    <row r="2053" spans="1:13" s="79" customFormat="1" ht="13.5" customHeight="1">
      <c r="A2053" s="407"/>
      <c r="C2053" s="151"/>
      <c r="D2053" s="447" t="s">
        <v>38</v>
      </c>
      <c r="E2053" s="447"/>
      <c r="F2053" s="447"/>
      <c r="G2053" s="447"/>
      <c r="H2053" s="447"/>
      <c r="I2053" s="254">
        <f>SUM(I2054:I2059)</f>
        <v>6532619</v>
      </c>
      <c r="J2053" s="254">
        <f>SUM(J2054:J2059)</f>
        <v>394704</v>
      </c>
      <c r="K2053" s="254">
        <f>SUM(K2054:K2059)</f>
        <v>6927323</v>
      </c>
      <c r="L2053" s="80"/>
      <c r="M2053" s="82"/>
    </row>
    <row r="2054" spans="1:13" s="79" customFormat="1" ht="13.5" customHeight="1">
      <c r="A2054" s="407"/>
      <c r="C2054" s="151"/>
      <c r="D2054" s="446" t="s">
        <v>289</v>
      </c>
      <c r="E2054" s="446"/>
      <c r="F2054" s="446"/>
      <c r="G2054" s="446"/>
      <c r="H2054" s="446"/>
      <c r="I2054" s="29">
        <f>I2072+I2090+I2126+I2144+I2162+I2180+I2198+I2108</f>
        <v>4520698</v>
      </c>
      <c r="J2054" s="29">
        <f>J2072+J2090+J2126+J2144+J2162+J2180+J2198+J2108</f>
        <v>341469</v>
      </c>
      <c r="K2054" s="29">
        <f>K2072+K2090+K2126+K2144+K2162+K2180+K2198+K2108</f>
        <v>4862167</v>
      </c>
      <c r="L2054" s="80"/>
      <c r="M2054" s="82"/>
    </row>
    <row r="2055" spans="1:13" s="79" customFormat="1" ht="12.75" customHeight="1">
      <c r="A2055" s="407"/>
      <c r="C2055" s="151"/>
      <c r="D2055" s="444" t="s">
        <v>8</v>
      </c>
      <c r="E2055" s="448"/>
      <c r="F2055" s="448"/>
      <c r="G2055" s="448"/>
      <c r="H2055" s="448"/>
      <c r="I2055" s="29">
        <f aca="true" t="shared" si="140" ref="I2055:K2059">I2073+I2091+I2127+I2145+I2163+I2181+I2199+I2109</f>
        <v>1746502</v>
      </c>
      <c r="J2055" s="29">
        <f t="shared" si="140"/>
        <v>48615</v>
      </c>
      <c r="K2055" s="29">
        <f t="shared" si="140"/>
        <v>1795117</v>
      </c>
      <c r="L2055" s="80"/>
      <c r="M2055" s="82"/>
    </row>
    <row r="2056" spans="1:12" s="82" customFormat="1" ht="15.75" customHeight="1" hidden="1">
      <c r="A2056" s="407"/>
      <c r="C2056" s="149"/>
      <c r="D2056" s="444" t="s">
        <v>10</v>
      </c>
      <c r="E2056" s="444"/>
      <c r="F2056" s="444"/>
      <c r="G2056" s="444"/>
      <c r="H2056" s="444"/>
      <c r="I2056" s="29">
        <f t="shared" si="140"/>
        <v>0</v>
      </c>
      <c r="J2056" s="29">
        <f t="shared" si="140"/>
        <v>0</v>
      </c>
      <c r="K2056" s="29">
        <f t="shared" si="140"/>
        <v>0</v>
      </c>
      <c r="L2056" s="80"/>
    </row>
    <row r="2057" spans="1:12" s="82" customFormat="1" ht="15.75" customHeight="1" hidden="1">
      <c r="A2057" s="407"/>
      <c r="C2057" s="149"/>
      <c r="D2057" s="444" t="s">
        <v>9</v>
      </c>
      <c r="E2057" s="444"/>
      <c r="F2057" s="444"/>
      <c r="G2057" s="444"/>
      <c r="H2057" s="444"/>
      <c r="I2057" s="29">
        <f t="shared" si="140"/>
        <v>0</v>
      </c>
      <c r="J2057" s="29">
        <f t="shared" si="140"/>
        <v>0</v>
      </c>
      <c r="K2057" s="29">
        <f t="shared" si="140"/>
        <v>0</v>
      </c>
      <c r="L2057" s="80"/>
    </row>
    <row r="2058" spans="1:12" s="82" customFormat="1" ht="11.25" customHeight="1">
      <c r="A2058" s="407"/>
      <c r="C2058" s="149"/>
      <c r="D2058" s="444" t="s">
        <v>11</v>
      </c>
      <c r="E2058" s="444"/>
      <c r="F2058" s="444"/>
      <c r="G2058" s="444"/>
      <c r="H2058" s="444"/>
      <c r="I2058" s="29">
        <f t="shared" si="140"/>
        <v>265419</v>
      </c>
      <c r="J2058" s="29">
        <f t="shared" si="140"/>
        <v>4620</v>
      </c>
      <c r="K2058" s="29">
        <f t="shared" si="140"/>
        <v>270039</v>
      </c>
      <c r="L2058" s="80"/>
    </row>
    <row r="2059" spans="1:13" s="79" customFormat="1" ht="13.5" customHeight="1" hidden="1">
      <c r="A2059" s="407"/>
      <c r="C2059" s="151"/>
      <c r="D2059" s="444" t="s">
        <v>12</v>
      </c>
      <c r="E2059" s="444"/>
      <c r="F2059" s="444"/>
      <c r="G2059" s="444"/>
      <c r="H2059" s="444"/>
      <c r="I2059" s="29">
        <f t="shared" si="140"/>
        <v>0</v>
      </c>
      <c r="J2059" s="29">
        <f t="shared" si="140"/>
        <v>0</v>
      </c>
      <c r="K2059" s="29">
        <f t="shared" si="140"/>
        <v>0</v>
      </c>
      <c r="L2059" s="80"/>
      <c r="M2059" s="82"/>
    </row>
    <row r="2060" spans="1:13" s="79" customFormat="1" ht="15.75" customHeight="1">
      <c r="A2060" s="407"/>
      <c r="C2060" s="151"/>
      <c r="D2060" s="445" t="s">
        <v>277</v>
      </c>
      <c r="E2060" s="445"/>
      <c r="F2060" s="445"/>
      <c r="G2060" s="445"/>
      <c r="H2060" s="445"/>
      <c r="I2060" s="77">
        <f>I2049-I2053</f>
        <v>-26015</v>
      </c>
      <c r="J2060" s="77">
        <f>J2049-J2053</f>
        <v>0</v>
      </c>
      <c r="K2060" s="77">
        <f>K2049-K2053</f>
        <v>-26015</v>
      </c>
      <c r="L2060" s="80"/>
      <c r="M2060" s="82"/>
    </row>
    <row r="2061" spans="1:13" s="79" customFormat="1" ht="13.5" customHeight="1">
      <c r="A2061" s="407"/>
      <c r="C2061" s="151"/>
      <c r="D2061" s="444" t="s">
        <v>279</v>
      </c>
      <c r="E2061" s="444"/>
      <c r="F2061" s="444"/>
      <c r="G2061" s="444"/>
      <c r="H2061" s="444"/>
      <c r="I2061" s="29">
        <f>I2062+I2063+I2064</f>
        <v>26015</v>
      </c>
      <c r="J2061" s="29">
        <f>J2062+J2063+J2064</f>
        <v>0</v>
      </c>
      <c r="K2061" s="29">
        <f>K2062+K2063+K2064</f>
        <v>26015</v>
      </c>
      <c r="L2061" s="80"/>
      <c r="M2061" s="82"/>
    </row>
    <row r="2062" spans="1:13" s="79" customFormat="1" ht="15.75" customHeight="1">
      <c r="A2062" s="407"/>
      <c r="C2062" s="151"/>
      <c r="D2062" s="444" t="s">
        <v>278</v>
      </c>
      <c r="E2062" s="444"/>
      <c r="F2062" s="444"/>
      <c r="G2062" s="444"/>
      <c r="H2062" s="444"/>
      <c r="I2062" s="29">
        <f>I2080+I2098+I2134+I2152+I2170+I2188+I2206+I2116</f>
        <v>26015</v>
      </c>
      <c r="J2062" s="29">
        <f>J2080+J2098+J2134+J2152+J2170+J2188+J2206+J2116</f>
        <v>0</v>
      </c>
      <c r="K2062" s="29">
        <f>K2080+K2098+K2134+K2152+K2170+K2188+K2206+K2116</f>
        <v>26015</v>
      </c>
      <c r="L2062" s="80"/>
      <c r="M2062" s="82"/>
    </row>
    <row r="2063" spans="1:13" s="79" customFormat="1" ht="13.5" customHeight="1" hidden="1">
      <c r="A2063" s="407"/>
      <c r="C2063" s="151"/>
      <c r="D2063" s="444" t="s">
        <v>280</v>
      </c>
      <c r="E2063" s="444"/>
      <c r="F2063" s="444"/>
      <c r="G2063" s="444"/>
      <c r="H2063" s="444"/>
      <c r="I2063" s="29">
        <f aca="true" t="shared" si="141" ref="I2063:K2064">I2081+I2099+I2135+I2153+I2171+I2189+I2207</f>
        <v>0</v>
      </c>
      <c r="J2063" s="29">
        <f t="shared" si="141"/>
        <v>0</v>
      </c>
      <c r="K2063" s="29">
        <f t="shared" si="141"/>
        <v>0</v>
      </c>
      <c r="L2063" s="80"/>
      <c r="M2063" s="82"/>
    </row>
    <row r="2064" spans="1:13" s="79" customFormat="1" ht="13.5" customHeight="1" hidden="1">
      <c r="A2064" s="407"/>
      <c r="C2064" s="151"/>
      <c r="D2064" s="444" t="s">
        <v>281</v>
      </c>
      <c r="E2064" s="444"/>
      <c r="F2064" s="444"/>
      <c r="G2064" s="444"/>
      <c r="H2064" s="444"/>
      <c r="I2064" s="29">
        <f t="shared" si="141"/>
        <v>0</v>
      </c>
      <c r="J2064" s="29">
        <f t="shared" si="141"/>
        <v>0</v>
      </c>
      <c r="K2064" s="29">
        <f t="shared" si="141"/>
        <v>0</v>
      </c>
      <c r="L2064" s="80"/>
      <c r="M2064" s="82"/>
    </row>
    <row r="2065" spans="1:13" s="79" customFormat="1" ht="9" customHeight="1">
      <c r="A2065" s="407"/>
      <c r="C2065" s="151"/>
      <c r="D2065" s="85"/>
      <c r="E2065" s="85"/>
      <c r="F2065" s="85"/>
      <c r="G2065" s="85"/>
      <c r="H2065" s="85"/>
      <c r="I2065" s="29"/>
      <c r="J2065" s="77"/>
      <c r="K2065" s="77"/>
      <c r="L2065" s="80"/>
      <c r="M2065" s="82"/>
    </row>
    <row r="2066" spans="1:12" s="95" customFormat="1" ht="13.5" customHeight="1">
      <c r="A2066" s="407"/>
      <c r="C2066" s="153" t="s">
        <v>125</v>
      </c>
      <c r="D2066" s="449" t="s">
        <v>265</v>
      </c>
      <c r="E2066" s="449"/>
      <c r="F2066" s="449"/>
      <c r="G2066" s="449"/>
      <c r="H2066" s="449"/>
      <c r="I2066" s="129"/>
      <c r="J2066" s="127"/>
      <c r="K2066" s="127"/>
      <c r="L2066" s="127"/>
    </row>
    <row r="2067" spans="1:12" s="82" customFormat="1" ht="13.5" customHeight="1">
      <c r="A2067" s="407"/>
      <c r="C2067" s="149"/>
      <c r="D2067" s="447" t="s">
        <v>37</v>
      </c>
      <c r="E2067" s="447"/>
      <c r="F2067" s="447"/>
      <c r="G2067" s="447"/>
      <c r="H2067" s="447"/>
      <c r="I2067" s="77">
        <f>SUM(I2068:I2070)</f>
        <v>5336465</v>
      </c>
      <c r="J2067" s="77">
        <f>SUM(J2068:J2070)</f>
        <v>191893</v>
      </c>
      <c r="K2067" s="77">
        <f>SUM(K2068:K2070)</f>
        <v>5528358</v>
      </c>
      <c r="L2067" s="80"/>
    </row>
    <row r="2068" spans="1:12" s="82" customFormat="1" ht="12.75" customHeight="1">
      <c r="A2068" s="407"/>
      <c r="C2068" s="149"/>
      <c r="D2068" s="446" t="s">
        <v>5</v>
      </c>
      <c r="E2068" s="446"/>
      <c r="F2068" s="446"/>
      <c r="G2068" s="446"/>
      <c r="H2068" s="446"/>
      <c r="I2068" s="29">
        <f>4548018+28997+3471</f>
        <v>4580486</v>
      </c>
      <c r="J2068" s="80">
        <f>188158+3735</f>
        <v>191893</v>
      </c>
      <c r="K2068" s="80">
        <f>SUM(I2068:J2068)</f>
        <v>4772379</v>
      </c>
      <c r="L2068" s="80"/>
    </row>
    <row r="2069" spans="1:12" s="82" customFormat="1" ht="12" customHeight="1">
      <c r="A2069" s="407"/>
      <c r="C2069" s="149"/>
      <c r="D2069" s="446" t="s">
        <v>6</v>
      </c>
      <c r="E2069" s="446"/>
      <c r="F2069" s="446"/>
      <c r="G2069" s="446"/>
      <c r="H2069" s="446"/>
      <c r="I2069" s="29">
        <f>728120+27859</f>
        <v>755979</v>
      </c>
      <c r="J2069" s="80"/>
      <c r="K2069" s="80">
        <f>SUM(I2069:J2069)</f>
        <v>755979</v>
      </c>
      <c r="L2069" s="80"/>
    </row>
    <row r="2070" spans="1:12" s="82" customFormat="1" ht="13.5" customHeight="1" hidden="1">
      <c r="A2070" s="407"/>
      <c r="C2070" s="149"/>
      <c r="D2070" s="446" t="s">
        <v>7</v>
      </c>
      <c r="E2070" s="446"/>
      <c r="F2070" s="446"/>
      <c r="G2070" s="446"/>
      <c r="H2070" s="446"/>
      <c r="I2070" s="29"/>
      <c r="J2070" s="80"/>
      <c r="K2070" s="80">
        <f>SUM(I2070:J2070)</f>
        <v>0</v>
      </c>
      <c r="L2070" s="80"/>
    </row>
    <row r="2071" spans="1:12" s="82" customFormat="1" ht="13.5" customHeight="1">
      <c r="A2071" s="407"/>
      <c r="C2071" s="149"/>
      <c r="D2071" s="447" t="s">
        <v>38</v>
      </c>
      <c r="E2071" s="447"/>
      <c r="F2071" s="447"/>
      <c r="G2071" s="447"/>
      <c r="H2071" s="447"/>
      <c r="I2071" s="256">
        <f>SUM(I2072:I2077)</f>
        <v>5361990</v>
      </c>
      <c r="J2071" s="256">
        <f>SUM(J2072:J2077)</f>
        <v>191893</v>
      </c>
      <c r="K2071" s="256">
        <f>SUM(K2072:K2077)</f>
        <v>5553883</v>
      </c>
      <c r="L2071" s="80"/>
    </row>
    <row r="2072" spans="1:12" s="82" customFormat="1" ht="13.5" customHeight="1">
      <c r="A2072" s="407"/>
      <c r="C2072" s="149"/>
      <c r="D2072" s="446" t="s">
        <v>289</v>
      </c>
      <c r="E2072" s="446"/>
      <c r="F2072" s="446"/>
      <c r="G2072" s="446"/>
      <c r="H2072" s="446"/>
      <c r="I2072" s="29">
        <f>3560722</f>
        <v>3560722</v>
      </c>
      <c r="J2072" s="80">
        <f>188158+3735</f>
        <v>191893</v>
      </c>
      <c r="K2072" s="80">
        <f aca="true" t="shared" si="142" ref="K2072:K2077">SUM(I2072:J2072)</f>
        <v>3752615</v>
      </c>
      <c r="L2072" s="80"/>
    </row>
    <row r="2073" spans="1:12" s="82" customFormat="1" ht="13.5" customHeight="1">
      <c r="A2073" s="407"/>
      <c r="C2073" s="149"/>
      <c r="D2073" s="444" t="s">
        <v>8</v>
      </c>
      <c r="E2073" s="448"/>
      <c r="F2073" s="448"/>
      <c r="G2073" s="448"/>
      <c r="H2073" s="448"/>
      <c r="I2073" s="29">
        <f>859506+753645+3372</f>
        <v>1616523</v>
      </c>
      <c r="J2073" s="80"/>
      <c r="K2073" s="80">
        <f t="shared" si="142"/>
        <v>1616523</v>
      </c>
      <c r="L2073" s="80"/>
    </row>
    <row r="2074" spans="1:12" s="82" customFormat="1" ht="13.5" customHeight="1" hidden="1">
      <c r="A2074" s="407"/>
      <c r="C2074" s="149"/>
      <c r="D2074" s="444" t="s">
        <v>10</v>
      </c>
      <c r="E2074" s="444"/>
      <c r="F2074" s="444"/>
      <c r="G2074" s="444"/>
      <c r="H2074" s="444"/>
      <c r="I2074" s="29"/>
      <c r="J2074" s="77"/>
      <c r="K2074" s="80">
        <f t="shared" si="142"/>
        <v>0</v>
      </c>
      <c r="L2074" s="80"/>
    </row>
    <row r="2075" spans="1:12" s="82" customFormat="1" ht="13.5" customHeight="1" hidden="1">
      <c r="A2075" s="407"/>
      <c r="C2075" s="149"/>
      <c r="D2075" s="444" t="s">
        <v>9</v>
      </c>
      <c r="E2075" s="444"/>
      <c r="F2075" s="444"/>
      <c r="G2075" s="444"/>
      <c r="H2075" s="444"/>
      <c r="I2075" s="29"/>
      <c r="J2075" s="80"/>
      <c r="K2075" s="80">
        <f t="shared" si="142"/>
        <v>0</v>
      </c>
      <c r="L2075" s="80"/>
    </row>
    <row r="2076" spans="1:12" s="82" customFormat="1" ht="13.5" customHeight="1">
      <c r="A2076" s="407"/>
      <c r="C2076" s="149"/>
      <c r="D2076" s="444" t="s">
        <v>11</v>
      </c>
      <c r="E2076" s="444"/>
      <c r="F2076" s="444"/>
      <c r="G2076" s="444"/>
      <c r="H2076" s="444"/>
      <c r="I2076" s="29">
        <f>127790+53484+3471</f>
        <v>184745</v>
      </c>
      <c r="J2076" s="80"/>
      <c r="K2076" s="80">
        <f t="shared" si="142"/>
        <v>184745</v>
      </c>
      <c r="L2076" s="80"/>
    </row>
    <row r="2077" spans="1:12" s="82" customFormat="1" ht="13.5" customHeight="1" hidden="1">
      <c r="A2077" s="407"/>
      <c r="C2077" s="149"/>
      <c r="D2077" s="444" t="s">
        <v>12</v>
      </c>
      <c r="E2077" s="444"/>
      <c r="F2077" s="444"/>
      <c r="G2077" s="444"/>
      <c r="H2077" s="444"/>
      <c r="I2077" s="29"/>
      <c r="J2077" s="80"/>
      <c r="K2077" s="80">
        <f t="shared" si="142"/>
        <v>0</v>
      </c>
      <c r="L2077" s="80"/>
    </row>
    <row r="2078" spans="1:12" s="82" customFormat="1" ht="13.5" customHeight="1">
      <c r="A2078" s="407"/>
      <c r="C2078" s="149"/>
      <c r="D2078" s="445" t="s">
        <v>277</v>
      </c>
      <c r="E2078" s="445"/>
      <c r="F2078" s="445"/>
      <c r="G2078" s="445"/>
      <c r="H2078" s="445"/>
      <c r="I2078" s="77">
        <f>I2067-I2071</f>
        <v>-25525</v>
      </c>
      <c r="J2078" s="77">
        <f>J2067-J2071</f>
        <v>0</v>
      </c>
      <c r="K2078" s="77">
        <f>K2067-K2071</f>
        <v>-25525</v>
      </c>
      <c r="L2078" s="80"/>
    </row>
    <row r="2079" spans="1:12" s="82" customFormat="1" ht="13.5" customHeight="1">
      <c r="A2079" s="407"/>
      <c r="C2079" s="149"/>
      <c r="D2079" s="444" t="s">
        <v>279</v>
      </c>
      <c r="E2079" s="444"/>
      <c r="F2079" s="444"/>
      <c r="G2079" s="444"/>
      <c r="H2079" s="444"/>
      <c r="I2079" s="29">
        <f>I2080+I2081+I2082</f>
        <v>25525</v>
      </c>
      <c r="J2079" s="29">
        <f>J2080+J2081+J2082</f>
        <v>0</v>
      </c>
      <c r="K2079" s="29">
        <f>K2080+K2081+K2082</f>
        <v>25525</v>
      </c>
      <c r="L2079" s="80"/>
    </row>
    <row r="2080" spans="1:12" s="82" customFormat="1" ht="13.5" customHeight="1">
      <c r="A2080" s="407"/>
      <c r="C2080" s="149"/>
      <c r="D2080" s="444" t="s">
        <v>278</v>
      </c>
      <c r="E2080" s="444"/>
      <c r="F2080" s="444"/>
      <c r="G2080" s="444"/>
      <c r="H2080" s="444"/>
      <c r="I2080" s="29">
        <v>25525</v>
      </c>
      <c r="J2080" s="77"/>
      <c r="K2080" s="80">
        <f>SUM(I2080:J2080)</f>
        <v>25525</v>
      </c>
      <c r="L2080" s="80"/>
    </row>
    <row r="2081" spans="1:12" s="82" customFormat="1" ht="13.5" customHeight="1" hidden="1">
      <c r="A2081" s="407"/>
      <c r="C2081" s="149"/>
      <c r="D2081" s="444" t="s">
        <v>280</v>
      </c>
      <c r="E2081" s="444"/>
      <c r="F2081" s="444"/>
      <c r="G2081" s="444"/>
      <c r="H2081" s="444"/>
      <c r="I2081" s="29"/>
      <c r="J2081" s="77"/>
      <c r="K2081" s="80">
        <f>SUM(I2081:J2081)</f>
        <v>0</v>
      </c>
      <c r="L2081" s="80"/>
    </row>
    <row r="2082" spans="1:12" s="82" customFormat="1" ht="13.5" customHeight="1" hidden="1">
      <c r="A2082" s="407"/>
      <c r="C2082" s="149"/>
      <c r="D2082" s="444" t="s">
        <v>281</v>
      </c>
      <c r="E2082" s="444"/>
      <c r="F2082" s="444"/>
      <c r="G2082" s="444"/>
      <c r="H2082" s="444"/>
      <c r="I2082" s="29"/>
      <c r="J2082" s="77"/>
      <c r="K2082" s="80">
        <f>SUM(I2082:J2082)</f>
        <v>0</v>
      </c>
      <c r="L2082" s="80"/>
    </row>
    <row r="2083" spans="1:12" s="82" customFormat="1" ht="16.5" customHeight="1">
      <c r="A2083" s="407"/>
      <c r="C2083" s="149"/>
      <c r="D2083" s="81"/>
      <c r="E2083" s="81"/>
      <c r="F2083" s="81"/>
      <c r="G2083" s="81"/>
      <c r="H2083" s="81"/>
      <c r="I2083" s="29"/>
      <c r="J2083" s="80"/>
      <c r="K2083" s="80"/>
      <c r="L2083" s="80"/>
    </row>
    <row r="2084" spans="1:12" s="95" customFormat="1" ht="11.25" customHeight="1">
      <c r="A2084" s="407"/>
      <c r="C2084" s="153" t="s">
        <v>125</v>
      </c>
      <c r="D2084" s="434" t="s">
        <v>24</v>
      </c>
      <c r="E2084" s="434"/>
      <c r="F2084" s="434"/>
      <c r="G2084" s="434"/>
      <c r="H2084" s="434"/>
      <c r="I2084" s="129"/>
      <c r="J2084" s="127"/>
      <c r="K2084" s="127"/>
      <c r="L2084" s="127"/>
    </row>
    <row r="2085" spans="1:12" s="82" customFormat="1" ht="12" customHeight="1">
      <c r="A2085" s="407"/>
      <c r="C2085" s="149"/>
      <c r="D2085" s="447" t="s">
        <v>37</v>
      </c>
      <c r="E2085" s="447"/>
      <c r="F2085" s="447"/>
      <c r="G2085" s="447"/>
      <c r="H2085" s="447"/>
      <c r="I2085" s="77">
        <f>SUM(I2086:I2088)</f>
        <v>365010</v>
      </c>
      <c r="J2085" s="77">
        <f>SUM(J2086:J2088)</f>
        <v>67209</v>
      </c>
      <c r="K2085" s="77">
        <f>SUM(K2086:K2088)</f>
        <v>432219</v>
      </c>
      <c r="L2085" s="80"/>
    </row>
    <row r="2086" spans="1:12" s="82" customFormat="1" ht="13.5" customHeight="1" hidden="1">
      <c r="A2086" s="407"/>
      <c r="C2086" s="149"/>
      <c r="D2086" s="446" t="s">
        <v>5</v>
      </c>
      <c r="E2086" s="446"/>
      <c r="F2086" s="446"/>
      <c r="G2086" s="446"/>
      <c r="H2086" s="446"/>
      <c r="I2086" s="77"/>
      <c r="J2086" s="80"/>
      <c r="K2086" s="80">
        <f>SUM(I2086:J2086)</f>
        <v>0</v>
      </c>
      <c r="L2086" s="80"/>
    </row>
    <row r="2087" spans="1:12" s="82" customFormat="1" ht="13.5" customHeight="1" hidden="1">
      <c r="A2087" s="407"/>
      <c r="C2087" s="149"/>
      <c r="D2087" s="446" t="s">
        <v>6</v>
      </c>
      <c r="E2087" s="446"/>
      <c r="F2087" s="446"/>
      <c r="G2087" s="446"/>
      <c r="H2087" s="446"/>
      <c r="I2087" s="77"/>
      <c r="J2087" s="80"/>
      <c r="K2087" s="80">
        <f>SUM(I2087:J2087)</f>
        <v>0</v>
      </c>
      <c r="L2087" s="80"/>
    </row>
    <row r="2088" spans="1:12" s="82" customFormat="1" ht="13.5" customHeight="1">
      <c r="A2088" s="407"/>
      <c r="C2088" s="149"/>
      <c r="D2088" s="446" t="s">
        <v>7</v>
      </c>
      <c r="E2088" s="446"/>
      <c r="F2088" s="446"/>
      <c r="G2088" s="446"/>
      <c r="H2088" s="446"/>
      <c r="I2088" s="29">
        <f>292008+73002</f>
        <v>365010</v>
      </c>
      <c r="J2088" s="80">
        <f>67209</f>
        <v>67209</v>
      </c>
      <c r="K2088" s="80">
        <f>SUM(I2088:J2088)</f>
        <v>432219</v>
      </c>
      <c r="L2088" s="80"/>
    </row>
    <row r="2089" spans="1:12" s="82" customFormat="1" ht="13.5" customHeight="1">
      <c r="A2089" s="407"/>
      <c r="C2089" s="149"/>
      <c r="D2089" s="447" t="s">
        <v>38</v>
      </c>
      <c r="E2089" s="447"/>
      <c r="F2089" s="447"/>
      <c r="G2089" s="447"/>
      <c r="H2089" s="447"/>
      <c r="I2089" s="256">
        <f>SUM(I2090:I2095)</f>
        <v>365010</v>
      </c>
      <c r="J2089" s="256">
        <f>SUM(J2090:J2095)</f>
        <v>67209</v>
      </c>
      <c r="K2089" s="256">
        <f>SUM(K2090:K2095)</f>
        <v>432219</v>
      </c>
      <c r="L2089" s="80"/>
    </row>
    <row r="2090" spans="1:12" s="82" customFormat="1" ht="12" customHeight="1">
      <c r="A2090" s="407"/>
      <c r="C2090" s="149"/>
      <c r="D2090" s="446" t="s">
        <v>289</v>
      </c>
      <c r="E2090" s="446"/>
      <c r="F2090" s="446"/>
      <c r="G2090" s="446"/>
      <c r="H2090" s="446"/>
      <c r="I2090" s="29">
        <f>292008+73002</f>
        <v>365010</v>
      </c>
      <c r="J2090" s="80">
        <f>67209</f>
        <v>67209</v>
      </c>
      <c r="K2090" s="80">
        <f aca="true" t="shared" si="143" ref="K2090:K2095">SUM(I2090:J2090)</f>
        <v>432219</v>
      </c>
      <c r="L2090" s="80"/>
    </row>
    <row r="2091" spans="1:12" s="82" customFormat="1" ht="13.5" customHeight="1" hidden="1">
      <c r="A2091" s="407"/>
      <c r="C2091" s="149"/>
      <c r="D2091" s="444" t="s">
        <v>8</v>
      </c>
      <c r="E2091" s="448"/>
      <c r="F2091" s="448"/>
      <c r="G2091" s="448"/>
      <c r="H2091" s="448"/>
      <c r="I2091" s="29"/>
      <c r="J2091" s="80"/>
      <c r="K2091" s="80">
        <f t="shared" si="143"/>
        <v>0</v>
      </c>
      <c r="L2091" s="80"/>
    </row>
    <row r="2092" spans="1:12" s="82" customFormat="1" ht="13.5" customHeight="1" hidden="1">
      <c r="A2092" s="407"/>
      <c r="C2092" s="149"/>
      <c r="D2092" s="444" t="s">
        <v>10</v>
      </c>
      <c r="E2092" s="444"/>
      <c r="F2092" s="444"/>
      <c r="G2092" s="444"/>
      <c r="H2092" s="444"/>
      <c r="I2092" s="29"/>
      <c r="J2092" s="80"/>
      <c r="K2092" s="80">
        <f t="shared" si="143"/>
        <v>0</v>
      </c>
      <c r="L2092" s="80"/>
    </row>
    <row r="2093" spans="1:12" s="82" customFormat="1" ht="13.5" customHeight="1" hidden="1">
      <c r="A2093" s="407"/>
      <c r="C2093" s="149"/>
      <c r="D2093" s="444" t="s">
        <v>9</v>
      </c>
      <c r="E2093" s="444"/>
      <c r="F2093" s="444"/>
      <c r="G2093" s="444"/>
      <c r="H2093" s="444"/>
      <c r="I2093" s="29"/>
      <c r="J2093" s="80"/>
      <c r="K2093" s="80">
        <f t="shared" si="143"/>
        <v>0</v>
      </c>
      <c r="L2093" s="80"/>
    </row>
    <row r="2094" spans="1:12" s="82" customFormat="1" ht="13.5" customHeight="1" hidden="1">
      <c r="A2094" s="407"/>
      <c r="C2094" s="149"/>
      <c r="D2094" s="444" t="s">
        <v>11</v>
      </c>
      <c r="E2094" s="444"/>
      <c r="F2094" s="444"/>
      <c r="G2094" s="444"/>
      <c r="H2094" s="444"/>
      <c r="I2094" s="29"/>
      <c r="J2094" s="80"/>
      <c r="K2094" s="80">
        <f t="shared" si="143"/>
        <v>0</v>
      </c>
      <c r="L2094" s="80"/>
    </row>
    <row r="2095" spans="1:12" s="82" customFormat="1" ht="13.5" customHeight="1" hidden="1">
      <c r="A2095" s="407"/>
      <c r="C2095" s="149"/>
      <c r="D2095" s="444" t="s">
        <v>12</v>
      </c>
      <c r="E2095" s="444"/>
      <c r="F2095" s="444"/>
      <c r="G2095" s="444"/>
      <c r="H2095" s="444"/>
      <c r="I2095" s="29"/>
      <c r="J2095" s="77"/>
      <c r="K2095" s="80">
        <f t="shared" si="143"/>
        <v>0</v>
      </c>
      <c r="L2095" s="80"/>
    </row>
    <row r="2096" spans="1:12" s="82" customFormat="1" ht="13.5" customHeight="1">
      <c r="A2096" s="407"/>
      <c r="C2096" s="149"/>
      <c r="D2096" s="445" t="s">
        <v>277</v>
      </c>
      <c r="E2096" s="445"/>
      <c r="F2096" s="445"/>
      <c r="G2096" s="445"/>
      <c r="H2096" s="445"/>
      <c r="I2096" s="77">
        <f>I2085-I2089</f>
        <v>0</v>
      </c>
      <c r="J2096" s="77">
        <f>J2085-J2089</f>
        <v>0</v>
      </c>
      <c r="K2096" s="77">
        <f>K2085-K2089</f>
        <v>0</v>
      </c>
      <c r="L2096" s="80"/>
    </row>
    <row r="2097" spans="1:12" s="82" customFormat="1" ht="12" customHeight="1">
      <c r="A2097" s="407"/>
      <c r="C2097" s="149"/>
      <c r="D2097" s="444" t="s">
        <v>279</v>
      </c>
      <c r="E2097" s="444"/>
      <c r="F2097" s="444"/>
      <c r="G2097" s="444"/>
      <c r="H2097" s="444"/>
      <c r="I2097" s="29">
        <f>I2098+I2099+I2100</f>
        <v>0</v>
      </c>
      <c r="J2097" s="29">
        <f>J2098+J2099+J2100</f>
        <v>0</v>
      </c>
      <c r="K2097" s="29">
        <f>K2098+K2099+K2100</f>
        <v>0</v>
      </c>
      <c r="L2097" s="80"/>
    </row>
    <row r="2098" spans="1:12" s="82" customFormat="1" ht="13.5" customHeight="1" hidden="1">
      <c r="A2098" s="407"/>
      <c r="C2098" s="149"/>
      <c r="D2098" s="444" t="s">
        <v>278</v>
      </c>
      <c r="E2098" s="444"/>
      <c r="F2098" s="444"/>
      <c r="G2098" s="444"/>
      <c r="H2098" s="444"/>
      <c r="I2098" s="29"/>
      <c r="J2098" s="77"/>
      <c r="K2098" s="80">
        <f>SUM(I2098:J2098)</f>
        <v>0</v>
      </c>
      <c r="L2098" s="80"/>
    </row>
    <row r="2099" spans="1:12" s="82" customFormat="1" ht="13.5" customHeight="1" hidden="1">
      <c r="A2099" s="407"/>
      <c r="C2099" s="149"/>
      <c r="D2099" s="444" t="s">
        <v>280</v>
      </c>
      <c r="E2099" s="444"/>
      <c r="F2099" s="444"/>
      <c r="G2099" s="444"/>
      <c r="H2099" s="444"/>
      <c r="I2099" s="29"/>
      <c r="J2099" s="77"/>
      <c r="K2099" s="80">
        <f>SUM(I2099:J2099)</f>
        <v>0</v>
      </c>
      <c r="L2099" s="80"/>
    </row>
    <row r="2100" spans="1:12" s="82" customFormat="1" ht="13.5" customHeight="1" hidden="1">
      <c r="A2100" s="407"/>
      <c r="C2100" s="149"/>
      <c r="D2100" s="444" t="s">
        <v>281</v>
      </c>
      <c r="E2100" s="444"/>
      <c r="F2100" s="444"/>
      <c r="G2100" s="444"/>
      <c r="H2100" s="444"/>
      <c r="I2100" s="29"/>
      <c r="J2100" s="77"/>
      <c r="K2100" s="80">
        <f>SUM(I2100:J2100)</f>
        <v>0</v>
      </c>
      <c r="L2100" s="80"/>
    </row>
    <row r="2101" spans="1:12" s="82" customFormat="1" ht="21" customHeight="1">
      <c r="A2101" s="407"/>
      <c r="C2101" s="149"/>
      <c r="D2101" s="85"/>
      <c r="E2101" s="85"/>
      <c r="F2101" s="85"/>
      <c r="G2101" s="85"/>
      <c r="H2101" s="85"/>
      <c r="I2101" s="29"/>
      <c r="J2101" s="77"/>
      <c r="K2101" s="80"/>
      <c r="L2101" s="80"/>
    </row>
    <row r="2102" spans="1:12" s="82" customFormat="1" ht="13.5" customHeight="1">
      <c r="A2102" s="407"/>
      <c r="C2102" s="153" t="s">
        <v>125</v>
      </c>
      <c r="D2102" s="449" t="s">
        <v>591</v>
      </c>
      <c r="E2102" s="449"/>
      <c r="F2102" s="449"/>
      <c r="G2102" s="449"/>
      <c r="H2102" s="449"/>
      <c r="I2102" s="129"/>
      <c r="J2102" s="127"/>
      <c r="K2102" s="127"/>
      <c r="L2102" s="80"/>
    </row>
    <row r="2103" spans="1:12" s="82" customFormat="1" ht="12.75" customHeight="1">
      <c r="A2103" s="407"/>
      <c r="C2103" s="149"/>
      <c r="D2103" s="447" t="s">
        <v>37</v>
      </c>
      <c r="E2103" s="447"/>
      <c r="F2103" s="447"/>
      <c r="G2103" s="447"/>
      <c r="H2103" s="447"/>
      <c r="I2103" s="77">
        <f>SUM(I2104:I2106)</f>
        <v>0</v>
      </c>
      <c r="J2103" s="77">
        <f>SUM(J2104:J2106)</f>
        <v>19748</v>
      </c>
      <c r="K2103" s="77">
        <f>SUM(K2104:K2106)</f>
        <v>19748</v>
      </c>
      <c r="L2103" s="80"/>
    </row>
    <row r="2104" spans="1:12" s="82" customFormat="1" ht="13.5" customHeight="1" hidden="1">
      <c r="A2104" s="407"/>
      <c r="C2104" s="149"/>
      <c r="D2104" s="446" t="s">
        <v>5</v>
      </c>
      <c r="E2104" s="446"/>
      <c r="F2104" s="446"/>
      <c r="G2104" s="446"/>
      <c r="H2104" s="446"/>
      <c r="I2104" s="29"/>
      <c r="J2104" s="80"/>
      <c r="K2104" s="80">
        <f>SUM(I2104:J2104)</f>
        <v>0</v>
      </c>
      <c r="L2104" s="80"/>
    </row>
    <row r="2105" spans="1:12" s="82" customFormat="1" ht="13.5" customHeight="1" hidden="1">
      <c r="A2105" s="407"/>
      <c r="C2105" s="149"/>
      <c r="D2105" s="446" t="s">
        <v>6</v>
      </c>
      <c r="E2105" s="446"/>
      <c r="F2105" s="446"/>
      <c r="G2105" s="446"/>
      <c r="H2105" s="446"/>
      <c r="I2105" s="29"/>
      <c r="J2105" s="80"/>
      <c r="K2105" s="80">
        <f>SUM(I2105:J2105)</f>
        <v>0</v>
      </c>
      <c r="L2105" s="80"/>
    </row>
    <row r="2106" spans="1:12" s="82" customFormat="1" ht="13.5" customHeight="1">
      <c r="A2106" s="407"/>
      <c r="C2106" s="149"/>
      <c r="D2106" s="446" t="s">
        <v>7</v>
      </c>
      <c r="E2106" s="446"/>
      <c r="F2106" s="446"/>
      <c r="G2106" s="446"/>
      <c r="H2106" s="446"/>
      <c r="I2106" s="29"/>
      <c r="J2106" s="80">
        <f>19748</f>
        <v>19748</v>
      </c>
      <c r="K2106" s="80">
        <f>SUM(I2106:J2106)</f>
        <v>19748</v>
      </c>
      <c r="L2106" s="80"/>
    </row>
    <row r="2107" spans="1:12" s="82" customFormat="1" ht="13.5" customHeight="1">
      <c r="A2107" s="407"/>
      <c r="C2107" s="149"/>
      <c r="D2107" s="447" t="s">
        <v>38</v>
      </c>
      <c r="E2107" s="447"/>
      <c r="F2107" s="447"/>
      <c r="G2107" s="447"/>
      <c r="H2107" s="447"/>
      <c r="I2107" s="256">
        <f>SUM(I2108:I2113)</f>
        <v>0</v>
      </c>
      <c r="J2107" s="256">
        <f>SUM(J2108:J2113)</f>
        <v>19748</v>
      </c>
      <c r="K2107" s="256">
        <f>SUM(K2108:K2113)</f>
        <v>19748</v>
      </c>
      <c r="L2107" s="80"/>
    </row>
    <row r="2108" spans="1:12" s="82" customFormat="1" ht="13.5" customHeight="1" hidden="1">
      <c r="A2108" s="407"/>
      <c r="C2108" s="149"/>
      <c r="D2108" s="446" t="s">
        <v>289</v>
      </c>
      <c r="E2108" s="446"/>
      <c r="F2108" s="446"/>
      <c r="G2108" s="446"/>
      <c r="H2108" s="446"/>
      <c r="I2108" s="29"/>
      <c r="J2108" s="80"/>
      <c r="K2108" s="80">
        <f aca="true" t="shared" si="144" ref="K2108:K2113">SUM(I2108:J2108)</f>
        <v>0</v>
      </c>
      <c r="L2108" s="80"/>
    </row>
    <row r="2109" spans="1:12" s="82" customFormat="1" ht="12" customHeight="1">
      <c r="A2109" s="407"/>
      <c r="C2109" s="149"/>
      <c r="D2109" s="444" t="s">
        <v>8</v>
      </c>
      <c r="E2109" s="448"/>
      <c r="F2109" s="448"/>
      <c r="G2109" s="448"/>
      <c r="H2109" s="448"/>
      <c r="I2109" s="29"/>
      <c r="J2109" s="80">
        <f>19748</f>
        <v>19748</v>
      </c>
      <c r="K2109" s="80">
        <f t="shared" si="144"/>
        <v>19748</v>
      </c>
      <c r="L2109" s="80"/>
    </row>
    <row r="2110" spans="1:12" s="82" customFormat="1" ht="13.5" customHeight="1" hidden="1">
      <c r="A2110" s="407"/>
      <c r="C2110" s="149"/>
      <c r="D2110" s="444" t="s">
        <v>10</v>
      </c>
      <c r="E2110" s="444"/>
      <c r="F2110" s="444"/>
      <c r="G2110" s="444"/>
      <c r="H2110" s="444"/>
      <c r="I2110" s="29"/>
      <c r="J2110" s="77"/>
      <c r="K2110" s="80">
        <f t="shared" si="144"/>
        <v>0</v>
      </c>
      <c r="L2110" s="80"/>
    </row>
    <row r="2111" spans="1:12" s="82" customFormat="1" ht="13.5" customHeight="1" hidden="1">
      <c r="A2111" s="407"/>
      <c r="C2111" s="149"/>
      <c r="D2111" s="444" t="s">
        <v>9</v>
      </c>
      <c r="E2111" s="444"/>
      <c r="F2111" s="444"/>
      <c r="G2111" s="444"/>
      <c r="H2111" s="444"/>
      <c r="I2111" s="29"/>
      <c r="J2111" s="80"/>
      <c r="K2111" s="80">
        <f t="shared" si="144"/>
        <v>0</v>
      </c>
      <c r="L2111" s="80"/>
    </row>
    <row r="2112" spans="1:12" s="82" customFormat="1" ht="13.5" customHeight="1" hidden="1">
      <c r="A2112" s="407"/>
      <c r="C2112" s="149"/>
      <c r="D2112" s="444" t="s">
        <v>11</v>
      </c>
      <c r="E2112" s="444"/>
      <c r="F2112" s="444"/>
      <c r="G2112" s="444"/>
      <c r="H2112" s="444"/>
      <c r="I2112" s="29"/>
      <c r="J2112" s="80"/>
      <c r="K2112" s="80">
        <f t="shared" si="144"/>
        <v>0</v>
      </c>
      <c r="L2112" s="80"/>
    </row>
    <row r="2113" spans="1:12" s="82" customFormat="1" ht="13.5" customHeight="1" hidden="1">
      <c r="A2113" s="407"/>
      <c r="C2113" s="149"/>
      <c r="D2113" s="444" t="s">
        <v>12</v>
      </c>
      <c r="E2113" s="444"/>
      <c r="F2113" s="444"/>
      <c r="G2113" s="444"/>
      <c r="H2113" s="444"/>
      <c r="I2113" s="29"/>
      <c r="J2113" s="80"/>
      <c r="K2113" s="80">
        <f t="shared" si="144"/>
        <v>0</v>
      </c>
      <c r="L2113" s="80"/>
    </row>
    <row r="2114" spans="1:12" s="82" customFormat="1" ht="13.5" customHeight="1">
      <c r="A2114" s="407"/>
      <c r="C2114" s="149"/>
      <c r="D2114" s="445" t="s">
        <v>277</v>
      </c>
      <c r="E2114" s="445"/>
      <c r="F2114" s="445"/>
      <c r="G2114" s="445"/>
      <c r="H2114" s="445"/>
      <c r="I2114" s="77">
        <f>I2103-I2107</f>
        <v>0</v>
      </c>
      <c r="J2114" s="77">
        <f>J2103-J2107</f>
        <v>0</v>
      </c>
      <c r="K2114" s="77">
        <f>K2103-K2107</f>
        <v>0</v>
      </c>
      <c r="L2114" s="80"/>
    </row>
    <row r="2115" spans="1:12" s="82" customFormat="1" ht="13.5" customHeight="1">
      <c r="A2115" s="407"/>
      <c r="C2115" s="149"/>
      <c r="D2115" s="444" t="s">
        <v>279</v>
      </c>
      <c r="E2115" s="444"/>
      <c r="F2115" s="444"/>
      <c r="G2115" s="444"/>
      <c r="H2115" s="444"/>
      <c r="I2115" s="29">
        <f>I2116+I2117+I2118</f>
        <v>0</v>
      </c>
      <c r="J2115" s="29">
        <f>J2116+J2117+J2118</f>
        <v>0</v>
      </c>
      <c r="K2115" s="29">
        <f>K2116+K2117+K2118</f>
        <v>0</v>
      </c>
      <c r="L2115" s="80"/>
    </row>
    <row r="2116" spans="1:12" s="82" customFormat="1" ht="12" customHeight="1" hidden="1">
      <c r="A2116" s="407"/>
      <c r="C2116" s="149"/>
      <c r="D2116" s="444" t="s">
        <v>278</v>
      </c>
      <c r="E2116" s="444"/>
      <c r="F2116" s="444"/>
      <c r="G2116" s="444"/>
      <c r="H2116" s="444"/>
      <c r="I2116" s="29"/>
      <c r="J2116" s="77"/>
      <c r="K2116" s="80">
        <f>SUM(I2116:J2116)</f>
        <v>0</v>
      </c>
      <c r="L2116" s="80"/>
    </row>
    <row r="2117" spans="1:12" s="82" customFormat="1" ht="13.5" customHeight="1" hidden="1">
      <c r="A2117" s="407"/>
      <c r="C2117" s="149"/>
      <c r="D2117" s="444" t="s">
        <v>280</v>
      </c>
      <c r="E2117" s="444"/>
      <c r="F2117" s="444"/>
      <c r="G2117" s="444"/>
      <c r="H2117" s="444"/>
      <c r="I2117" s="29"/>
      <c r="J2117" s="77"/>
      <c r="K2117" s="80">
        <f>SUM(I2117:J2117)</f>
        <v>0</v>
      </c>
      <c r="L2117" s="80"/>
    </row>
    <row r="2118" spans="1:12" s="82" customFormat="1" ht="13.5" customHeight="1" hidden="1">
      <c r="A2118" s="407"/>
      <c r="C2118" s="149"/>
      <c r="D2118" s="444" t="s">
        <v>281</v>
      </c>
      <c r="E2118" s="444"/>
      <c r="F2118" s="444"/>
      <c r="G2118" s="444"/>
      <c r="H2118" s="444"/>
      <c r="I2118" s="29"/>
      <c r="J2118" s="77"/>
      <c r="K2118" s="80">
        <f>SUM(I2118:J2118)</f>
        <v>0</v>
      </c>
      <c r="L2118" s="80"/>
    </row>
    <row r="2119" spans="1:12" s="82" customFormat="1" ht="18.75" customHeight="1">
      <c r="A2119" s="407"/>
      <c r="C2119" s="149"/>
      <c r="D2119" s="85"/>
      <c r="E2119" s="85"/>
      <c r="F2119" s="85"/>
      <c r="G2119" s="85"/>
      <c r="H2119" s="85"/>
      <c r="I2119" s="29"/>
      <c r="J2119" s="77"/>
      <c r="K2119" s="77"/>
      <c r="L2119" s="80"/>
    </row>
    <row r="2120" spans="1:12" s="95" customFormat="1" ht="13.5" customHeight="1">
      <c r="A2120" s="407"/>
      <c r="C2120" s="153" t="s">
        <v>125</v>
      </c>
      <c r="D2120" s="434" t="s">
        <v>298</v>
      </c>
      <c r="E2120" s="434"/>
      <c r="F2120" s="434"/>
      <c r="G2120" s="434"/>
      <c r="H2120" s="434"/>
      <c r="I2120" s="129"/>
      <c r="J2120" s="17"/>
      <c r="K2120" s="17"/>
      <c r="L2120" s="127"/>
    </row>
    <row r="2121" spans="1:12" s="82" customFormat="1" ht="12.75" customHeight="1">
      <c r="A2121" s="407"/>
      <c r="C2121" s="149"/>
      <c r="D2121" s="447" t="s">
        <v>37</v>
      </c>
      <c r="E2121" s="447"/>
      <c r="F2121" s="447"/>
      <c r="G2121" s="447"/>
      <c r="H2121" s="447"/>
      <c r="I2121" s="77">
        <f>SUM(I2122:I2124)</f>
        <v>0</v>
      </c>
      <c r="J2121" s="77">
        <f>SUM(J2122:J2124)</f>
        <v>0</v>
      </c>
      <c r="K2121" s="77">
        <f>SUM(K2122:K2124)</f>
        <v>0</v>
      </c>
      <c r="L2121" s="80"/>
    </row>
    <row r="2122" spans="1:12" s="82" customFormat="1" ht="0.75" customHeight="1" hidden="1">
      <c r="A2122" s="407"/>
      <c r="C2122" s="149"/>
      <c r="D2122" s="446" t="s">
        <v>5</v>
      </c>
      <c r="E2122" s="446"/>
      <c r="F2122" s="446"/>
      <c r="G2122" s="446"/>
      <c r="H2122" s="446"/>
      <c r="I2122" s="29"/>
      <c r="J2122" s="29"/>
      <c r="K2122" s="29">
        <f>SUM(I2122:J2122)</f>
        <v>0</v>
      </c>
      <c r="L2122" s="80"/>
    </row>
    <row r="2123" spans="1:12" s="82" customFormat="1" ht="13.5" customHeight="1" hidden="1">
      <c r="A2123" s="407"/>
      <c r="C2123" s="149"/>
      <c r="D2123" s="446" t="s">
        <v>6</v>
      </c>
      <c r="E2123" s="446"/>
      <c r="F2123" s="446"/>
      <c r="G2123" s="446"/>
      <c r="H2123" s="446"/>
      <c r="I2123" s="29"/>
      <c r="J2123" s="77"/>
      <c r="K2123" s="29">
        <f>SUM(I2123:J2123)</f>
        <v>0</v>
      </c>
      <c r="L2123" s="80"/>
    </row>
    <row r="2124" spans="1:12" s="82" customFormat="1" ht="13.5" customHeight="1" hidden="1">
      <c r="A2124" s="407"/>
      <c r="C2124" s="149"/>
      <c r="D2124" s="446" t="s">
        <v>7</v>
      </c>
      <c r="E2124" s="446"/>
      <c r="F2124" s="446"/>
      <c r="G2124" s="446"/>
      <c r="H2124" s="446"/>
      <c r="I2124" s="29"/>
      <c r="J2124" s="29"/>
      <c r="K2124" s="29">
        <f>SUM(I2124:J2124)</f>
        <v>0</v>
      </c>
      <c r="L2124" s="80"/>
    </row>
    <row r="2125" spans="1:12" s="82" customFormat="1" ht="13.5" customHeight="1">
      <c r="A2125" s="407"/>
      <c r="C2125" s="149"/>
      <c r="D2125" s="447" t="s">
        <v>38</v>
      </c>
      <c r="E2125" s="447"/>
      <c r="F2125" s="447"/>
      <c r="G2125" s="447"/>
      <c r="H2125" s="447"/>
      <c r="I2125" s="256">
        <f>SUM(I2126:I2131)</f>
        <v>490</v>
      </c>
      <c r="J2125" s="256">
        <f>SUM(J2126:J2131)</f>
        <v>0</v>
      </c>
      <c r="K2125" s="256">
        <f>SUM(K2126:K2131)</f>
        <v>490</v>
      </c>
      <c r="L2125" s="80"/>
    </row>
    <row r="2126" spans="1:12" s="82" customFormat="1" ht="13.5" customHeight="1" hidden="1">
      <c r="A2126" s="407"/>
      <c r="C2126" s="149"/>
      <c r="D2126" s="446" t="s">
        <v>289</v>
      </c>
      <c r="E2126" s="446"/>
      <c r="F2126" s="446"/>
      <c r="G2126" s="446"/>
      <c r="H2126" s="446"/>
      <c r="I2126" s="29"/>
      <c r="J2126" s="29"/>
      <c r="K2126" s="29">
        <f aca="true" t="shared" si="145" ref="K2126:K2131">SUM(I2126:J2126)</f>
        <v>0</v>
      </c>
      <c r="L2126" s="80"/>
    </row>
    <row r="2127" spans="1:12" s="82" customFormat="1" ht="12.75" customHeight="1">
      <c r="A2127" s="407"/>
      <c r="C2127" s="149"/>
      <c r="D2127" s="444" t="s">
        <v>8</v>
      </c>
      <c r="E2127" s="448"/>
      <c r="F2127" s="448"/>
      <c r="G2127" s="448"/>
      <c r="H2127" s="448"/>
      <c r="I2127" s="29">
        <v>140</v>
      </c>
      <c r="J2127" s="29"/>
      <c r="K2127" s="29">
        <f t="shared" si="145"/>
        <v>140</v>
      </c>
      <c r="L2127" s="80"/>
    </row>
    <row r="2128" spans="1:12" s="82" customFormat="1" ht="13.5" customHeight="1" hidden="1">
      <c r="A2128" s="407"/>
      <c r="C2128" s="149"/>
      <c r="D2128" s="444" t="s">
        <v>10</v>
      </c>
      <c r="E2128" s="444"/>
      <c r="F2128" s="444"/>
      <c r="G2128" s="444"/>
      <c r="H2128" s="444"/>
      <c r="I2128" s="29"/>
      <c r="J2128" s="77"/>
      <c r="K2128" s="29">
        <f t="shared" si="145"/>
        <v>0</v>
      </c>
      <c r="L2128" s="80"/>
    </row>
    <row r="2129" spans="1:12" s="82" customFormat="1" ht="13.5" customHeight="1" hidden="1">
      <c r="A2129" s="407"/>
      <c r="C2129" s="149"/>
      <c r="D2129" s="444" t="s">
        <v>9</v>
      </c>
      <c r="E2129" s="444"/>
      <c r="F2129" s="444"/>
      <c r="G2129" s="444"/>
      <c r="H2129" s="444"/>
      <c r="I2129" s="29"/>
      <c r="J2129" s="77"/>
      <c r="K2129" s="29">
        <f t="shared" si="145"/>
        <v>0</v>
      </c>
      <c r="L2129" s="80"/>
    </row>
    <row r="2130" spans="1:12" s="82" customFormat="1" ht="13.5" customHeight="1">
      <c r="A2130" s="407"/>
      <c r="C2130" s="149"/>
      <c r="D2130" s="444" t="s">
        <v>11</v>
      </c>
      <c r="E2130" s="444"/>
      <c r="F2130" s="444"/>
      <c r="G2130" s="444"/>
      <c r="H2130" s="444"/>
      <c r="I2130" s="29">
        <v>350</v>
      </c>
      <c r="J2130" s="29"/>
      <c r="K2130" s="29">
        <f t="shared" si="145"/>
        <v>350</v>
      </c>
      <c r="L2130" s="80"/>
    </row>
    <row r="2131" spans="1:12" s="82" customFormat="1" ht="13.5" customHeight="1" hidden="1">
      <c r="A2131" s="407"/>
      <c r="C2131" s="149"/>
      <c r="D2131" s="444" t="s">
        <v>12</v>
      </c>
      <c r="E2131" s="444"/>
      <c r="F2131" s="444"/>
      <c r="G2131" s="444"/>
      <c r="H2131" s="444"/>
      <c r="I2131" s="29"/>
      <c r="J2131" s="77"/>
      <c r="K2131" s="29">
        <f t="shared" si="145"/>
        <v>0</v>
      </c>
      <c r="L2131" s="80"/>
    </row>
    <row r="2132" spans="1:12" s="82" customFormat="1" ht="13.5" customHeight="1">
      <c r="A2132" s="407"/>
      <c r="C2132" s="149"/>
      <c r="D2132" s="445" t="s">
        <v>277</v>
      </c>
      <c r="E2132" s="445"/>
      <c r="F2132" s="445"/>
      <c r="G2132" s="445"/>
      <c r="H2132" s="445"/>
      <c r="I2132" s="77">
        <f>I2121-I2125</f>
        <v>-490</v>
      </c>
      <c r="J2132" s="77">
        <f>J2121-J2125</f>
        <v>0</v>
      </c>
      <c r="K2132" s="77">
        <f>K2121-K2125</f>
        <v>-490</v>
      </c>
      <c r="L2132" s="80"/>
    </row>
    <row r="2133" spans="1:12" s="82" customFormat="1" ht="13.5" customHeight="1">
      <c r="A2133" s="407"/>
      <c r="C2133" s="149"/>
      <c r="D2133" s="444" t="s">
        <v>279</v>
      </c>
      <c r="E2133" s="444"/>
      <c r="F2133" s="444"/>
      <c r="G2133" s="444"/>
      <c r="H2133" s="444"/>
      <c r="I2133" s="29">
        <f>I2134+I2135+I2136</f>
        <v>490</v>
      </c>
      <c r="J2133" s="29">
        <f>J2134+J2135+J2136</f>
        <v>0</v>
      </c>
      <c r="K2133" s="29">
        <f>K2134+K2135+K2136</f>
        <v>490</v>
      </c>
      <c r="L2133" s="80"/>
    </row>
    <row r="2134" spans="1:12" s="82" customFormat="1" ht="12.75" customHeight="1">
      <c r="A2134" s="407"/>
      <c r="C2134" s="149"/>
      <c r="D2134" s="444" t="s">
        <v>278</v>
      </c>
      <c r="E2134" s="444"/>
      <c r="F2134" s="444"/>
      <c r="G2134" s="444"/>
      <c r="H2134" s="444"/>
      <c r="I2134" s="29">
        <v>490</v>
      </c>
      <c r="J2134" s="77"/>
      <c r="K2134" s="80">
        <f>SUM(I2134:J2134)</f>
        <v>490</v>
      </c>
      <c r="L2134" s="80"/>
    </row>
    <row r="2135" spans="1:12" s="82" customFormat="1" ht="13.5" customHeight="1" hidden="1">
      <c r="A2135" s="407"/>
      <c r="C2135" s="149"/>
      <c r="D2135" s="444" t="s">
        <v>280</v>
      </c>
      <c r="E2135" s="444"/>
      <c r="F2135" s="444"/>
      <c r="G2135" s="444"/>
      <c r="H2135" s="444"/>
      <c r="I2135" s="29"/>
      <c r="J2135" s="77"/>
      <c r="K2135" s="80">
        <f>SUM(I2135:J2135)</f>
        <v>0</v>
      </c>
      <c r="L2135" s="80"/>
    </row>
    <row r="2136" spans="1:12" s="82" customFormat="1" ht="13.5" customHeight="1" hidden="1">
      <c r="A2136" s="407"/>
      <c r="C2136" s="149"/>
      <c r="D2136" s="444" t="s">
        <v>281</v>
      </c>
      <c r="E2136" s="444"/>
      <c r="F2136" s="444"/>
      <c r="G2136" s="444"/>
      <c r="H2136" s="444"/>
      <c r="I2136" s="29"/>
      <c r="J2136" s="77"/>
      <c r="K2136" s="80">
        <f>SUM(I2136:J2136)</f>
        <v>0</v>
      </c>
      <c r="L2136" s="80"/>
    </row>
    <row r="2137" spans="1:12" s="82" customFormat="1" ht="9.75" customHeight="1" hidden="1">
      <c r="A2137" s="407"/>
      <c r="C2137" s="149"/>
      <c r="D2137" s="85"/>
      <c r="E2137" s="85"/>
      <c r="F2137" s="85"/>
      <c r="G2137" s="85"/>
      <c r="H2137" s="85"/>
      <c r="I2137" s="29"/>
      <c r="J2137" s="77"/>
      <c r="K2137" s="77"/>
      <c r="L2137" s="80"/>
    </row>
    <row r="2138" spans="1:12" s="95" customFormat="1" ht="13.5" customHeight="1" hidden="1">
      <c r="A2138" s="407"/>
      <c r="C2138" s="153" t="s">
        <v>125</v>
      </c>
      <c r="D2138" s="434" t="s">
        <v>212</v>
      </c>
      <c r="E2138" s="434"/>
      <c r="F2138" s="434"/>
      <c r="G2138" s="434"/>
      <c r="H2138" s="434"/>
      <c r="I2138" s="129"/>
      <c r="J2138" s="127"/>
      <c r="K2138" s="127"/>
      <c r="L2138" s="127"/>
    </row>
    <row r="2139" spans="1:12" s="82" customFormat="1" ht="13.5" customHeight="1" hidden="1">
      <c r="A2139" s="407"/>
      <c r="C2139" s="149"/>
      <c r="D2139" s="447" t="s">
        <v>37</v>
      </c>
      <c r="E2139" s="447"/>
      <c r="F2139" s="447"/>
      <c r="G2139" s="447"/>
      <c r="H2139" s="447"/>
      <c r="I2139" s="77">
        <f>SUM(I2140:I2142)</f>
        <v>0</v>
      </c>
      <c r="J2139" s="77">
        <f>SUM(J2140:J2142)</f>
        <v>0</v>
      </c>
      <c r="K2139" s="77">
        <f>SUM(K2140:K2142)</f>
        <v>0</v>
      </c>
      <c r="L2139" s="80"/>
    </row>
    <row r="2140" spans="1:12" s="82" customFormat="1" ht="13.5" customHeight="1" hidden="1">
      <c r="A2140" s="407"/>
      <c r="C2140" s="149"/>
      <c r="D2140" s="446" t="s">
        <v>5</v>
      </c>
      <c r="E2140" s="446"/>
      <c r="F2140" s="446"/>
      <c r="G2140" s="446"/>
      <c r="H2140" s="446"/>
      <c r="I2140" s="29"/>
      <c r="J2140" s="80"/>
      <c r="K2140" s="80">
        <f>SUM(I2140:J2140)</f>
        <v>0</v>
      </c>
      <c r="L2140" s="80"/>
    </row>
    <row r="2141" spans="1:12" s="82" customFormat="1" ht="13.5" customHeight="1" hidden="1">
      <c r="A2141" s="407"/>
      <c r="C2141" s="149"/>
      <c r="D2141" s="446" t="s">
        <v>6</v>
      </c>
      <c r="E2141" s="446"/>
      <c r="F2141" s="446"/>
      <c r="G2141" s="446"/>
      <c r="H2141" s="446"/>
      <c r="I2141" s="29"/>
      <c r="J2141" s="80"/>
      <c r="K2141" s="80">
        <f>SUM(I2141:J2141)</f>
        <v>0</v>
      </c>
      <c r="L2141" s="80"/>
    </row>
    <row r="2142" spans="1:12" s="82" customFormat="1" ht="13.5" customHeight="1" hidden="1">
      <c r="A2142" s="407"/>
      <c r="C2142" s="149"/>
      <c r="D2142" s="446" t="s">
        <v>7</v>
      </c>
      <c r="E2142" s="446"/>
      <c r="F2142" s="446"/>
      <c r="G2142" s="446"/>
      <c r="H2142" s="446"/>
      <c r="I2142" s="29"/>
      <c r="J2142" s="80"/>
      <c r="K2142" s="80">
        <f>SUM(I2142:J2142)</f>
        <v>0</v>
      </c>
      <c r="L2142" s="80"/>
    </row>
    <row r="2143" spans="1:12" s="82" customFormat="1" ht="13.5" customHeight="1" hidden="1">
      <c r="A2143" s="407"/>
      <c r="C2143" s="149"/>
      <c r="D2143" s="447" t="s">
        <v>38</v>
      </c>
      <c r="E2143" s="447"/>
      <c r="F2143" s="447"/>
      <c r="G2143" s="447"/>
      <c r="H2143" s="447"/>
      <c r="I2143" s="256">
        <f>SUM(I2144:I2149)</f>
        <v>0</v>
      </c>
      <c r="J2143" s="256">
        <f>SUM(J2144:J2149)</f>
        <v>0</v>
      </c>
      <c r="K2143" s="256">
        <f>SUM(K2144:K2149)</f>
        <v>0</v>
      </c>
      <c r="L2143" s="80"/>
    </row>
    <row r="2144" spans="1:12" s="82" customFormat="1" ht="13.5" customHeight="1" hidden="1">
      <c r="A2144" s="407"/>
      <c r="C2144" s="149"/>
      <c r="D2144" s="446" t="s">
        <v>289</v>
      </c>
      <c r="E2144" s="446"/>
      <c r="F2144" s="446"/>
      <c r="G2144" s="446"/>
      <c r="H2144" s="446"/>
      <c r="I2144" s="29"/>
      <c r="J2144" s="80"/>
      <c r="K2144" s="80">
        <f aca="true" t="shared" si="146" ref="K2144:K2149">SUM(I2144:J2144)</f>
        <v>0</v>
      </c>
      <c r="L2144" s="80"/>
    </row>
    <row r="2145" spans="1:12" s="82" customFormat="1" ht="13.5" customHeight="1" hidden="1">
      <c r="A2145" s="407"/>
      <c r="C2145" s="149"/>
      <c r="D2145" s="444" t="s">
        <v>8</v>
      </c>
      <c r="E2145" s="448"/>
      <c r="F2145" s="448"/>
      <c r="G2145" s="448"/>
      <c r="H2145" s="448"/>
      <c r="I2145" s="29"/>
      <c r="J2145" s="80"/>
      <c r="K2145" s="80">
        <f t="shared" si="146"/>
        <v>0</v>
      </c>
      <c r="L2145" s="80"/>
    </row>
    <row r="2146" spans="1:12" s="82" customFormat="1" ht="13.5" customHeight="1" hidden="1">
      <c r="A2146" s="407"/>
      <c r="C2146" s="149"/>
      <c r="D2146" s="444" t="s">
        <v>10</v>
      </c>
      <c r="E2146" s="444"/>
      <c r="F2146" s="444"/>
      <c r="G2146" s="444"/>
      <c r="H2146" s="444"/>
      <c r="I2146" s="29"/>
      <c r="J2146" s="80"/>
      <c r="K2146" s="80">
        <f t="shared" si="146"/>
        <v>0</v>
      </c>
      <c r="L2146" s="80"/>
    </row>
    <row r="2147" spans="1:12" s="82" customFormat="1" ht="13.5" customHeight="1" hidden="1">
      <c r="A2147" s="407"/>
      <c r="C2147" s="149"/>
      <c r="D2147" s="444" t="s">
        <v>9</v>
      </c>
      <c r="E2147" s="444"/>
      <c r="F2147" s="444"/>
      <c r="G2147" s="444"/>
      <c r="H2147" s="444"/>
      <c r="I2147" s="29"/>
      <c r="J2147" s="80"/>
      <c r="K2147" s="80">
        <f t="shared" si="146"/>
        <v>0</v>
      </c>
      <c r="L2147" s="80"/>
    </row>
    <row r="2148" spans="1:12" s="82" customFormat="1" ht="13.5" customHeight="1" hidden="1">
      <c r="A2148" s="407"/>
      <c r="C2148" s="149"/>
      <c r="D2148" s="444" t="s">
        <v>11</v>
      </c>
      <c r="E2148" s="444"/>
      <c r="F2148" s="444"/>
      <c r="G2148" s="444"/>
      <c r="H2148" s="444"/>
      <c r="I2148" s="29"/>
      <c r="J2148" s="80"/>
      <c r="K2148" s="80">
        <f t="shared" si="146"/>
        <v>0</v>
      </c>
      <c r="L2148" s="80"/>
    </row>
    <row r="2149" spans="1:12" s="82" customFormat="1" ht="13.5" customHeight="1" hidden="1">
      <c r="A2149" s="407"/>
      <c r="C2149" s="149"/>
      <c r="D2149" s="444" t="s">
        <v>12</v>
      </c>
      <c r="E2149" s="444"/>
      <c r="F2149" s="444"/>
      <c r="G2149" s="444"/>
      <c r="H2149" s="444"/>
      <c r="I2149" s="29"/>
      <c r="J2149" s="77"/>
      <c r="K2149" s="80">
        <f t="shared" si="146"/>
        <v>0</v>
      </c>
      <c r="L2149" s="80"/>
    </row>
    <row r="2150" spans="1:12" s="82" customFormat="1" ht="13.5" customHeight="1" hidden="1">
      <c r="A2150" s="407"/>
      <c r="C2150" s="149"/>
      <c r="D2150" s="445" t="s">
        <v>277</v>
      </c>
      <c r="E2150" s="445"/>
      <c r="F2150" s="445"/>
      <c r="G2150" s="445"/>
      <c r="H2150" s="445"/>
      <c r="I2150" s="77">
        <f>I2139-I2143</f>
        <v>0</v>
      </c>
      <c r="J2150" s="77">
        <f>J2139-J2143</f>
        <v>0</v>
      </c>
      <c r="K2150" s="77">
        <f>K2139-K2143</f>
        <v>0</v>
      </c>
      <c r="L2150" s="80"/>
    </row>
    <row r="2151" spans="1:12" s="82" customFormat="1" ht="13.5" customHeight="1" hidden="1">
      <c r="A2151" s="407"/>
      <c r="C2151" s="149"/>
      <c r="D2151" s="444" t="s">
        <v>279</v>
      </c>
      <c r="E2151" s="444"/>
      <c r="F2151" s="444"/>
      <c r="G2151" s="444"/>
      <c r="H2151" s="444"/>
      <c r="I2151" s="29">
        <f>I2152+I2153+I2154</f>
        <v>0</v>
      </c>
      <c r="J2151" s="29">
        <f>J2152+J2153+J2154</f>
        <v>0</v>
      </c>
      <c r="K2151" s="29">
        <f>K2152+K2153+K2154</f>
        <v>0</v>
      </c>
      <c r="L2151" s="80"/>
    </row>
    <row r="2152" spans="1:12" s="82" customFormat="1" ht="13.5" customHeight="1" hidden="1">
      <c r="A2152" s="407"/>
      <c r="C2152" s="149"/>
      <c r="D2152" s="444" t="s">
        <v>278</v>
      </c>
      <c r="E2152" s="444"/>
      <c r="F2152" s="444"/>
      <c r="G2152" s="444"/>
      <c r="H2152" s="444"/>
      <c r="I2152" s="29"/>
      <c r="J2152" s="77"/>
      <c r="K2152" s="80">
        <f>SUM(I2152:J2152)</f>
        <v>0</v>
      </c>
      <c r="L2152" s="80"/>
    </row>
    <row r="2153" spans="1:12" s="82" customFormat="1" ht="13.5" customHeight="1" hidden="1">
      <c r="A2153" s="407"/>
      <c r="C2153" s="149"/>
      <c r="D2153" s="444" t="s">
        <v>280</v>
      </c>
      <c r="E2153" s="444"/>
      <c r="F2153" s="444"/>
      <c r="G2153" s="444"/>
      <c r="H2153" s="444"/>
      <c r="I2153" s="29"/>
      <c r="J2153" s="77"/>
      <c r="K2153" s="80">
        <f>SUM(I2153:J2153)</f>
        <v>0</v>
      </c>
      <c r="L2153" s="80"/>
    </row>
    <row r="2154" spans="1:12" s="82" customFormat="1" ht="13.5" customHeight="1" hidden="1">
      <c r="A2154" s="407"/>
      <c r="C2154" s="149"/>
      <c r="D2154" s="444" t="s">
        <v>281</v>
      </c>
      <c r="E2154" s="444"/>
      <c r="F2154" s="444"/>
      <c r="G2154" s="444"/>
      <c r="H2154" s="444"/>
      <c r="I2154" s="29"/>
      <c r="J2154" s="77"/>
      <c r="K2154" s="80">
        <f>SUM(I2154:J2154)</f>
        <v>0</v>
      </c>
      <c r="L2154" s="80"/>
    </row>
    <row r="2155" spans="1:12" s="82" customFormat="1" ht="9" customHeight="1" hidden="1">
      <c r="A2155" s="407"/>
      <c r="C2155" s="149"/>
      <c r="D2155" s="446"/>
      <c r="E2155" s="446"/>
      <c r="F2155" s="446"/>
      <c r="G2155" s="446"/>
      <c r="H2155" s="446"/>
      <c r="I2155" s="29"/>
      <c r="J2155" s="80"/>
      <c r="K2155" s="29"/>
      <c r="L2155" s="80"/>
    </row>
    <row r="2156" spans="1:12" s="95" customFormat="1" ht="13.5" customHeight="1" hidden="1">
      <c r="A2156" s="407"/>
      <c r="C2156" s="153" t="s">
        <v>125</v>
      </c>
      <c r="D2156" s="449" t="s">
        <v>111</v>
      </c>
      <c r="E2156" s="449"/>
      <c r="F2156" s="449"/>
      <c r="G2156" s="449"/>
      <c r="H2156" s="449"/>
      <c r="I2156" s="129"/>
      <c r="J2156" s="127"/>
      <c r="K2156" s="127"/>
      <c r="L2156" s="127"/>
    </row>
    <row r="2157" spans="1:12" s="82" customFormat="1" ht="13.5" customHeight="1" hidden="1">
      <c r="A2157" s="407"/>
      <c r="C2157" s="149"/>
      <c r="D2157" s="447" t="s">
        <v>37</v>
      </c>
      <c r="E2157" s="447"/>
      <c r="F2157" s="447"/>
      <c r="G2157" s="447"/>
      <c r="H2157" s="447"/>
      <c r="I2157" s="77">
        <f>SUM(I2158:I2160)</f>
        <v>0</v>
      </c>
      <c r="J2157" s="77">
        <f>SUM(J2158:J2160)</f>
        <v>0</v>
      </c>
      <c r="K2157" s="77">
        <f>SUM(K2158:K2160)</f>
        <v>0</v>
      </c>
      <c r="L2157" s="80"/>
    </row>
    <row r="2158" spans="1:12" s="82" customFormat="1" ht="13.5" customHeight="1" hidden="1">
      <c r="A2158" s="407"/>
      <c r="C2158" s="149"/>
      <c r="D2158" s="446" t="s">
        <v>5</v>
      </c>
      <c r="E2158" s="446"/>
      <c r="F2158" s="446"/>
      <c r="G2158" s="446"/>
      <c r="H2158" s="446"/>
      <c r="I2158" s="77"/>
      <c r="J2158" s="80"/>
      <c r="K2158" s="80">
        <f>SUM(I2158:J2158)</f>
        <v>0</v>
      </c>
      <c r="L2158" s="80"/>
    </row>
    <row r="2159" spans="1:12" s="82" customFormat="1" ht="13.5" customHeight="1" hidden="1">
      <c r="A2159" s="407"/>
      <c r="C2159" s="149"/>
      <c r="D2159" s="446" t="s">
        <v>6</v>
      </c>
      <c r="E2159" s="446"/>
      <c r="F2159" s="446"/>
      <c r="G2159" s="446"/>
      <c r="H2159" s="446"/>
      <c r="I2159" s="77"/>
      <c r="J2159" s="80"/>
      <c r="K2159" s="80">
        <f>SUM(I2159:J2159)</f>
        <v>0</v>
      </c>
      <c r="L2159" s="80"/>
    </row>
    <row r="2160" spans="1:12" s="82" customFormat="1" ht="13.5" customHeight="1" hidden="1">
      <c r="A2160" s="407"/>
      <c r="C2160" s="149"/>
      <c r="D2160" s="446" t="s">
        <v>7</v>
      </c>
      <c r="E2160" s="446"/>
      <c r="F2160" s="446"/>
      <c r="G2160" s="446"/>
      <c r="H2160" s="446"/>
      <c r="I2160" s="29"/>
      <c r="J2160" s="80"/>
      <c r="K2160" s="80">
        <f>SUM(I2160:J2160)</f>
        <v>0</v>
      </c>
      <c r="L2160" s="80"/>
    </row>
    <row r="2161" spans="1:12" s="82" customFormat="1" ht="13.5" customHeight="1" hidden="1">
      <c r="A2161" s="407"/>
      <c r="C2161" s="149"/>
      <c r="D2161" s="447" t="s">
        <v>38</v>
      </c>
      <c r="E2161" s="447"/>
      <c r="F2161" s="447"/>
      <c r="G2161" s="447"/>
      <c r="H2161" s="447"/>
      <c r="I2161" s="256">
        <f>SUM(I2162:I2167)</f>
        <v>0</v>
      </c>
      <c r="J2161" s="256">
        <f>SUM(J2162:J2167)</f>
        <v>0</v>
      </c>
      <c r="K2161" s="256">
        <f>SUM(K2162:K2167)</f>
        <v>0</v>
      </c>
      <c r="L2161" s="80"/>
    </row>
    <row r="2162" spans="1:12" s="82" customFormat="1" ht="13.5" customHeight="1" hidden="1">
      <c r="A2162" s="407"/>
      <c r="C2162" s="149"/>
      <c r="D2162" s="446" t="s">
        <v>289</v>
      </c>
      <c r="E2162" s="446"/>
      <c r="F2162" s="446"/>
      <c r="G2162" s="446"/>
      <c r="H2162" s="446"/>
      <c r="I2162" s="29"/>
      <c r="J2162" s="80"/>
      <c r="K2162" s="80">
        <f aca="true" t="shared" si="147" ref="K2162:K2167">SUM(I2162:J2162)</f>
        <v>0</v>
      </c>
      <c r="L2162" s="80"/>
    </row>
    <row r="2163" spans="1:12" s="82" customFormat="1" ht="13.5" customHeight="1" hidden="1">
      <c r="A2163" s="407"/>
      <c r="C2163" s="149"/>
      <c r="D2163" s="444" t="s">
        <v>8</v>
      </c>
      <c r="E2163" s="448"/>
      <c r="F2163" s="448"/>
      <c r="G2163" s="448"/>
      <c r="H2163" s="448"/>
      <c r="I2163" s="29"/>
      <c r="J2163" s="80"/>
      <c r="K2163" s="80">
        <f t="shared" si="147"/>
        <v>0</v>
      </c>
      <c r="L2163" s="80"/>
    </row>
    <row r="2164" spans="1:12" s="82" customFormat="1" ht="13.5" customHeight="1" hidden="1">
      <c r="A2164" s="407"/>
      <c r="C2164" s="149"/>
      <c r="D2164" s="444" t="s">
        <v>10</v>
      </c>
      <c r="E2164" s="444"/>
      <c r="F2164" s="444"/>
      <c r="G2164" s="444"/>
      <c r="H2164" s="444"/>
      <c r="I2164" s="29"/>
      <c r="J2164" s="80"/>
      <c r="K2164" s="80">
        <f t="shared" si="147"/>
        <v>0</v>
      </c>
      <c r="L2164" s="80"/>
    </row>
    <row r="2165" spans="1:12" s="82" customFormat="1" ht="13.5" customHeight="1" hidden="1">
      <c r="A2165" s="407"/>
      <c r="C2165" s="149"/>
      <c r="D2165" s="444" t="s">
        <v>9</v>
      </c>
      <c r="E2165" s="444"/>
      <c r="F2165" s="444"/>
      <c r="G2165" s="444"/>
      <c r="H2165" s="444"/>
      <c r="I2165" s="29"/>
      <c r="J2165" s="80"/>
      <c r="K2165" s="80">
        <f t="shared" si="147"/>
        <v>0</v>
      </c>
      <c r="L2165" s="80"/>
    </row>
    <row r="2166" spans="1:13" s="79" customFormat="1" ht="13.5" customHeight="1" hidden="1">
      <c r="A2166" s="407"/>
      <c r="C2166" s="151"/>
      <c r="D2166" s="444" t="s">
        <v>11</v>
      </c>
      <c r="E2166" s="444"/>
      <c r="F2166" s="444"/>
      <c r="G2166" s="444"/>
      <c r="H2166" s="444"/>
      <c r="I2166" s="29"/>
      <c r="J2166" s="77"/>
      <c r="K2166" s="80">
        <f t="shared" si="147"/>
        <v>0</v>
      </c>
      <c r="L2166" s="80"/>
      <c r="M2166" s="82"/>
    </row>
    <row r="2167" spans="1:13" s="79" customFormat="1" ht="13.5" customHeight="1" hidden="1">
      <c r="A2167" s="407"/>
      <c r="C2167" s="151"/>
      <c r="D2167" s="444" t="s">
        <v>12</v>
      </c>
      <c r="E2167" s="444"/>
      <c r="F2167" s="444"/>
      <c r="G2167" s="444"/>
      <c r="H2167" s="444"/>
      <c r="I2167" s="29"/>
      <c r="J2167" s="78"/>
      <c r="K2167" s="80">
        <f t="shared" si="147"/>
        <v>0</v>
      </c>
      <c r="L2167" s="80"/>
      <c r="M2167" s="82"/>
    </row>
    <row r="2168" spans="1:13" s="79" customFormat="1" ht="13.5" customHeight="1" hidden="1">
      <c r="A2168" s="407"/>
      <c r="C2168" s="151"/>
      <c r="D2168" s="445" t="s">
        <v>277</v>
      </c>
      <c r="E2168" s="445"/>
      <c r="F2168" s="445"/>
      <c r="G2168" s="445"/>
      <c r="H2168" s="445"/>
      <c r="I2168" s="77">
        <f>I2157-I2161</f>
        <v>0</v>
      </c>
      <c r="J2168" s="77">
        <f>J2157-J2161</f>
        <v>0</v>
      </c>
      <c r="K2168" s="77">
        <f>K2157-K2161</f>
        <v>0</v>
      </c>
      <c r="L2168" s="80"/>
      <c r="M2168" s="82"/>
    </row>
    <row r="2169" spans="1:13" s="79" customFormat="1" ht="13.5" customHeight="1" hidden="1">
      <c r="A2169" s="407"/>
      <c r="C2169" s="151"/>
      <c r="D2169" s="444" t="s">
        <v>279</v>
      </c>
      <c r="E2169" s="444"/>
      <c r="F2169" s="444"/>
      <c r="G2169" s="444"/>
      <c r="H2169" s="444"/>
      <c r="I2169" s="29">
        <f>I2170+I2171+I2172</f>
        <v>0</v>
      </c>
      <c r="J2169" s="29">
        <f>J2170+J2171+J2172</f>
        <v>0</v>
      </c>
      <c r="K2169" s="29">
        <f>K2170+K2171+K2172</f>
        <v>0</v>
      </c>
      <c r="L2169" s="80"/>
      <c r="M2169" s="82"/>
    </row>
    <row r="2170" spans="1:13" s="79" customFormat="1" ht="13.5" customHeight="1" hidden="1">
      <c r="A2170" s="407"/>
      <c r="C2170" s="151"/>
      <c r="D2170" s="444" t="s">
        <v>278</v>
      </c>
      <c r="E2170" s="444"/>
      <c r="F2170" s="444"/>
      <c r="G2170" s="444"/>
      <c r="H2170" s="444"/>
      <c r="I2170" s="29"/>
      <c r="J2170" s="77"/>
      <c r="K2170" s="80">
        <f>SUM(I2170:J2170)</f>
        <v>0</v>
      </c>
      <c r="L2170" s="80"/>
      <c r="M2170" s="82"/>
    </row>
    <row r="2171" spans="1:13" s="79" customFormat="1" ht="13.5" customHeight="1" hidden="1">
      <c r="A2171" s="407"/>
      <c r="C2171" s="151"/>
      <c r="D2171" s="444" t="s">
        <v>280</v>
      </c>
      <c r="E2171" s="444"/>
      <c r="F2171" s="444"/>
      <c r="G2171" s="444"/>
      <c r="H2171" s="444"/>
      <c r="I2171" s="29"/>
      <c r="J2171" s="77"/>
      <c r="K2171" s="80">
        <f>SUM(I2171:J2171)</f>
        <v>0</v>
      </c>
      <c r="L2171" s="80"/>
      <c r="M2171" s="82"/>
    </row>
    <row r="2172" spans="1:13" s="79" customFormat="1" ht="13.5" customHeight="1" hidden="1">
      <c r="A2172" s="407"/>
      <c r="C2172" s="151"/>
      <c r="D2172" s="444" t="s">
        <v>281</v>
      </c>
      <c r="E2172" s="444"/>
      <c r="F2172" s="444"/>
      <c r="G2172" s="444"/>
      <c r="H2172" s="444"/>
      <c r="I2172" s="29"/>
      <c r="J2172" s="77"/>
      <c r="K2172" s="80">
        <f>SUM(I2172:J2172)</f>
        <v>0</v>
      </c>
      <c r="L2172" s="80"/>
      <c r="M2172" s="82"/>
    </row>
    <row r="2173" spans="1:13" s="79" customFormat="1" ht="22.5" customHeight="1">
      <c r="A2173" s="407"/>
      <c r="C2173" s="151"/>
      <c r="D2173" s="85"/>
      <c r="E2173" s="85"/>
      <c r="F2173" s="85"/>
      <c r="G2173" s="85"/>
      <c r="H2173" s="85"/>
      <c r="I2173" s="29"/>
      <c r="J2173" s="78"/>
      <c r="K2173" s="29"/>
      <c r="L2173" s="80"/>
      <c r="M2173" s="82"/>
    </row>
    <row r="2174" spans="1:12" s="95" customFormat="1" ht="11.25" customHeight="1">
      <c r="A2174" s="407"/>
      <c r="C2174" s="160" t="s">
        <v>582</v>
      </c>
      <c r="D2174" s="449" t="s">
        <v>111</v>
      </c>
      <c r="E2174" s="449"/>
      <c r="F2174" s="449"/>
      <c r="G2174" s="449"/>
      <c r="H2174" s="449"/>
      <c r="I2174" s="129"/>
      <c r="J2174" s="127"/>
      <c r="K2174" s="129"/>
      <c r="L2174" s="127"/>
    </row>
    <row r="2175" spans="1:13" s="79" customFormat="1" ht="12" customHeight="1">
      <c r="A2175" s="407"/>
      <c r="C2175" s="154"/>
      <c r="D2175" s="447" t="s">
        <v>37</v>
      </c>
      <c r="E2175" s="447"/>
      <c r="F2175" s="447"/>
      <c r="G2175" s="447"/>
      <c r="H2175" s="447"/>
      <c r="I2175" s="77">
        <f>SUM(I2176:I2178)</f>
        <v>805129</v>
      </c>
      <c r="J2175" s="77">
        <f>SUM(J2176:J2178)</f>
        <v>115854</v>
      </c>
      <c r="K2175" s="77">
        <f>SUM(K2176:K2178)</f>
        <v>920983</v>
      </c>
      <c r="L2175" s="80"/>
      <c r="M2175" s="82"/>
    </row>
    <row r="2176" spans="1:13" s="79" customFormat="1" ht="12" customHeight="1">
      <c r="A2176" s="407"/>
      <c r="C2176" s="154"/>
      <c r="D2176" s="446" t="s">
        <v>5</v>
      </c>
      <c r="E2176" s="446"/>
      <c r="F2176" s="446"/>
      <c r="G2176" s="446"/>
      <c r="H2176" s="446"/>
      <c r="I2176" s="29">
        <f>736</f>
        <v>736</v>
      </c>
      <c r="J2176" s="80"/>
      <c r="K2176" s="29">
        <f>SUM(I2176:J2176)</f>
        <v>736</v>
      </c>
      <c r="L2176" s="80"/>
      <c r="M2176" s="82"/>
    </row>
    <row r="2177" spans="1:13" s="79" customFormat="1" ht="12" customHeight="1" hidden="1">
      <c r="A2177" s="407">
        <v>736</v>
      </c>
      <c r="C2177" s="154"/>
      <c r="D2177" s="446" t="s">
        <v>6</v>
      </c>
      <c r="E2177" s="446"/>
      <c r="F2177" s="446"/>
      <c r="G2177" s="446"/>
      <c r="H2177" s="446"/>
      <c r="I2177" s="29"/>
      <c r="J2177" s="80"/>
      <c r="K2177" s="29">
        <f>SUM(I2177:J2177)</f>
        <v>0</v>
      </c>
      <c r="L2177" s="80"/>
      <c r="M2177" s="82"/>
    </row>
    <row r="2178" spans="1:13" s="79" customFormat="1" ht="12" customHeight="1">
      <c r="A2178" s="407"/>
      <c r="C2178" s="154"/>
      <c r="D2178" s="446" t="s">
        <v>7</v>
      </c>
      <c r="E2178" s="446"/>
      <c r="F2178" s="446"/>
      <c r="G2178" s="446"/>
      <c r="H2178" s="446"/>
      <c r="I2178" s="29">
        <f>659432+144961</f>
        <v>804393</v>
      </c>
      <c r="J2178" s="80">
        <f>115854</f>
        <v>115854</v>
      </c>
      <c r="K2178" s="29">
        <f>SUM(I2178:J2178)</f>
        <v>920247</v>
      </c>
      <c r="L2178" s="80"/>
      <c r="M2178" s="82"/>
    </row>
    <row r="2179" spans="1:13" s="79" customFormat="1" ht="13.5" customHeight="1">
      <c r="A2179" s="407"/>
      <c r="C2179" s="154"/>
      <c r="D2179" s="447" t="s">
        <v>38</v>
      </c>
      <c r="E2179" s="447"/>
      <c r="F2179" s="447"/>
      <c r="G2179" s="447"/>
      <c r="H2179" s="447"/>
      <c r="I2179" s="256">
        <f>SUM(I2180:I2185)</f>
        <v>805129</v>
      </c>
      <c r="J2179" s="256">
        <f>SUM(J2180:J2185)</f>
        <v>115854</v>
      </c>
      <c r="K2179" s="256">
        <f>SUM(K2180:K2185)</f>
        <v>920983</v>
      </c>
      <c r="L2179" s="80"/>
      <c r="M2179" s="82"/>
    </row>
    <row r="2180" spans="1:13" s="79" customFormat="1" ht="13.5" customHeight="1">
      <c r="A2180" s="407"/>
      <c r="C2180" s="154"/>
      <c r="D2180" s="446" t="s">
        <v>289</v>
      </c>
      <c r="E2180" s="446"/>
      <c r="F2180" s="446"/>
      <c r="G2180" s="446"/>
      <c r="H2180" s="446"/>
      <c r="I2180" s="29">
        <f>384342+91631+118993</f>
        <v>594966</v>
      </c>
      <c r="J2180" s="80">
        <f>82367</f>
        <v>82367</v>
      </c>
      <c r="K2180" s="29">
        <f aca="true" t="shared" si="148" ref="K2180:K2185">SUM(I2180:J2180)</f>
        <v>677333</v>
      </c>
      <c r="L2180" s="80"/>
      <c r="M2180" s="82"/>
    </row>
    <row r="2181" spans="1:13" s="79" customFormat="1" ht="12.75" customHeight="1">
      <c r="A2181" s="407"/>
      <c r="C2181" s="154"/>
      <c r="D2181" s="444" t="s">
        <v>8</v>
      </c>
      <c r="E2181" s="448"/>
      <c r="F2181" s="448"/>
      <c r="G2181" s="448"/>
      <c r="H2181" s="448"/>
      <c r="I2181" s="29">
        <f>42+57486+46343+25968</f>
        <v>129839</v>
      </c>
      <c r="J2181" s="80">
        <f>28867</f>
        <v>28867</v>
      </c>
      <c r="K2181" s="29">
        <f t="shared" si="148"/>
        <v>158706</v>
      </c>
      <c r="L2181" s="80"/>
      <c r="M2181" s="82"/>
    </row>
    <row r="2182" spans="1:13" s="79" customFormat="1" ht="13.5" customHeight="1" hidden="1">
      <c r="A2182" s="407"/>
      <c r="C2182" s="154"/>
      <c r="D2182" s="444" t="s">
        <v>10</v>
      </c>
      <c r="E2182" s="444"/>
      <c r="F2182" s="444"/>
      <c r="G2182" s="444"/>
      <c r="H2182" s="444"/>
      <c r="I2182" s="29"/>
      <c r="J2182" s="80"/>
      <c r="K2182" s="29">
        <f t="shared" si="148"/>
        <v>0</v>
      </c>
      <c r="L2182" s="80"/>
      <c r="M2182" s="82"/>
    </row>
    <row r="2183" spans="1:13" s="79" customFormat="1" ht="13.5" customHeight="1" hidden="1">
      <c r="A2183" s="407"/>
      <c r="C2183" s="151"/>
      <c r="D2183" s="444" t="s">
        <v>9</v>
      </c>
      <c r="E2183" s="444"/>
      <c r="F2183" s="444"/>
      <c r="G2183" s="444"/>
      <c r="H2183" s="444"/>
      <c r="I2183" s="29"/>
      <c r="J2183" s="80"/>
      <c r="K2183" s="29">
        <f t="shared" si="148"/>
        <v>0</v>
      </c>
      <c r="L2183" s="80"/>
      <c r="M2183" s="82"/>
    </row>
    <row r="2184" spans="1:13" s="79" customFormat="1" ht="12" customHeight="1">
      <c r="A2184" s="407"/>
      <c r="C2184" s="149"/>
      <c r="D2184" s="444" t="s">
        <v>11</v>
      </c>
      <c r="E2184" s="444"/>
      <c r="F2184" s="444"/>
      <c r="G2184" s="444"/>
      <c r="H2184" s="444"/>
      <c r="I2184" s="29">
        <f>79588+736</f>
        <v>80324</v>
      </c>
      <c r="J2184" s="80">
        <f>3884+736</f>
        <v>4620</v>
      </c>
      <c r="K2184" s="29">
        <f t="shared" si="148"/>
        <v>84944</v>
      </c>
      <c r="L2184" s="80"/>
      <c r="M2184" s="82"/>
    </row>
    <row r="2185" spans="1:13" s="79" customFormat="1" ht="13.5" customHeight="1" hidden="1">
      <c r="A2185" s="407"/>
      <c r="C2185" s="149"/>
      <c r="D2185" s="444" t="s">
        <v>12</v>
      </c>
      <c r="E2185" s="444"/>
      <c r="F2185" s="444"/>
      <c r="G2185" s="444"/>
      <c r="H2185" s="444"/>
      <c r="I2185" s="29"/>
      <c r="J2185" s="80"/>
      <c r="K2185" s="29">
        <f t="shared" si="148"/>
        <v>0</v>
      </c>
      <c r="L2185" s="80"/>
      <c r="M2185" s="82"/>
    </row>
    <row r="2186" spans="1:13" s="79" customFormat="1" ht="13.5" customHeight="1">
      <c r="A2186" s="407"/>
      <c r="C2186" s="149"/>
      <c r="D2186" s="445" t="s">
        <v>277</v>
      </c>
      <c r="E2186" s="445"/>
      <c r="F2186" s="445"/>
      <c r="G2186" s="445"/>
      <c r="H2186" s="445"/>
      <c r="I2186" s="77">
        <f>I2175-I2179</f>
        <v>0</v>
      </c>
      <c r="J2186" s="77">
        <f>J2175-J2179</f>
        <v>0</v>
      </c>
      <c r="K2186" s="77">
        <f>K2175-K2179</f>
        <v>0</v>
      </c>
      <c r="L2186" s="80"/>
      <c r="M2186" s="82"/>
    </row>
    <row r="2187" spans="1:13" s="79" customFormat="1" ht="12" customHeight="1">
      <c r="A2187" s="407"/>
      <c r="C2187" s="149"/>
      <c r="D2187" s="444" t="s">
        <v>279</v>
      </c>
      <c r="E2187" s="444"/>
      <c r="F2187" s="444"/>
      <c r="G2187" s="444"/>
      <c r="H2187" s="444"/>
      <c r="I2187" s="29">
        <f>I2188+I2189+I2190</f>
        <v>0</v>
      </c>
      <c r="J2187" s="29">
        <f>J2188+J2189+J2190</f>
        <v>0</v>
      </c>
      <c r="K2187" s="29">
        <f>K2188+K2189+K2190</f>
        <v>0</v>
      </c>
      <c r="L2187" s="80"/>
      <c r="M2187" s="82"/>
    </row>
    <row r="2188" spans="1:13" s="79" customFormat="1" ht="13.5" customHeight="1" hidden="1">
      <c r="A2188" s="407"/>
      <c r="C2188" s="149"/>
      <c r="D2188" s="444" t="s">
        <v>278</v>
      </c>
      <c r="E2188" s="444"/>
      <c r="F2188" s="444"/>
      <c r="G2188" s="444"/>
      <c r="H2188" s="444"/>
      <c r="I2188" s="29"/>
      <c r="J2188" s="77"/>
      <c r="K2188" s="80">
        <f>SUM(I2188:J2188)</f>
        <v>0</v>
      </c>
      <c r="L2188" s="80"/>
      <c r="M2188" s="82"/>
    </row>
    <row r="2189" spans="1:13" s="79" customFormat="1" ht="13.5" customHeight="1" hidden="1">
      <c r="A2189" s="407"/>
      <c r="C2189" s="149"/>
      <c r="D2189" s="444" t="s">
        <v>280</v>
      </c>
      <c r="E2189" s="444"/>
      <c r="F2189" s="444"/>
      <c r="G2189" s="444"/>
      <c r="H2189" s="444"/>
      <c r="I2189" s="29"/>
      <c r="J2189" s="77"/>
      <c r="K2189" s="80">
        <f>SUM(I2189:J2189)</f>
        <v>0</v>
      </c>
      <c r="L2189" s="80"/>
      <c r="M2189" s="82"/>
    </row>
    <row r="2190" spans="1:13" s="79" customFormat="1" ht="13.5" customHeight="1" hidden="1">
      <c r="A2190" s="407"/>
      <c r="C2190" s="149"/>
      <c r="D2190" s="444" t="s">
        <v>281</v>
      </c>
      <c r="E2190" s="444"/>
      <c r="F2190" s="444"/>
      <c r="G2190" s="444"/>
      <c r="H2190" s="444"/>
      <c r="I2190" s="29"/>
      <c r="J2190" s="77"/>
      <c r="K2190" s="80">
        <f>SUM(I2190:J2190)</f>
        <v>0</v>
      </c>
      <c r="L2190" s="80"/>
      <c r="M2190" s="82"/>
    </row>
    <row r="2191" spans="1:12" s="82" customFormat="1" ht="8.25" customHeight="1" hidden="1">
      <c r="A2191" s="407"/>
      <c r="C2191" s="149"/>
      <c r="D2191" s="81"/>
      <c r="E2191" s="81"/>
      <c r="F2191" s="81"/>
      <c r="G2191" s="81"/>
      <c r="H2191" s="81"/>
      <c r="I2191" s="29"/>
      <c r="J2191" s="80"/>
      <c r="K2191" s="80"/>
      <c r="L2191" s="80"/>
    </row>
    <row r="2192" spans="1:12" s="95" customFormat="1" ht="13.5" customHeight="1" hidden="1">
      <c r="A2192" s="407"/>
      <c r="C2192" s="153" t="s">
        <v>125</v>
      </c>
      <c r="D2192" s="449" t="s">
        <v>111</v>
      </c>
      <c r="E2192" s="449"/>
      <c r="F2192" s="449"/>
      <c r="G2192" s="449"/>
      <c r="H2192" s="449"/>
      <c r="I2192" s="129"/>
      <c r="J2192" s="127"/>
      <c r="K2192" s="127"/>
      <c r="L2192" s="127"/>
    </row>
    <row r="2193" spans="1:12" s="82" customFormat="1" ht="13.5" customHeight="1" hidden="1">
      <c r="A2193" s="407"/>
      <c r="C2193" s="149"/>
      <c r="D2193" s="447" t="s">
        <v>37</v>
      </c>
      <c r="E2193" s="447"/>
      <c r="F2193" s="447"/>
      <c r="G2193" s="447"/>
      <c r="H2193" s="447"/>
      <c r="I2193" s="77">
        <f>SUM(I2194:I2196)</f>
        <v>0</v>
      </c>
      <c r="J2193" s="77">
        <f>SUM(J2194:J2196)</f>
        <v>0</v>
      </c>
      <c r="K2193" s="77">
        <f>SUM(K2194:K2196)</f>
        <v>0</v>
      </c>
      <c r="L2193" s="80"/>
    </row>
    <row r="2194" spans="1:12" s="82" customFormat="1" ht="13.5" customHeight="1" hidden="1">
      <c r="A2194" s="407"/>
      <c r="C2194" s="149"/>
      <c r="D2194" s="446" t="s">
        <v>5</v>
      </c>
      <c r="E2194" s="446"/>
      <c r="F2194" s="446"/>
      <c r="G2194" s="446"/>
      <c r="H2194" s="446"/>
      <c r="I2194" s="77"/>
      <c r="J2194" s="80"/>
      <c r="K2194" s="80">
        <f>SUM(I2194:J2194)</f>
        <v>0</v>
      </c>
      <c r="L2194" s="80"/>
    </row>
    <row r="2195" spans="1:12" s="82" customFormat="1" ht="13.5" customHeight="1" hidden="1">
      <c r="A2195" s="407"/>
      <c r="C2195" s="149"/>
      <c r="D2195" s="446" t="s">
        <v>6</v>
      </c>
      <c r="E2195" s="446"/>
      <c r="F2195" s="446"/>
      <c r="G2195" s="446"/>
      <c r="H2195" s="446"/>
      <c r="I2195" s="77"/>
      <c r="J2195" s="80"/>
      <c r="K2195" s="80">
        <f>SUM(I2195:J2195)</f>
        <v>0</v>
      </c>
      <c r="L2195" s="80"/>
    </row>
    <row r="2196" spans="1:12" s="82" customFormat="1" ht="13.5" customHeight="1" hidden="1">
      <c r="A2196" s="407"/>
      <c r="C2196" s="149"/>
      <c r="D2196" s="446" t="s">
        <v>7</v>
      </c>
      <c r="E2196" s="446"/>
      <c r="F2196" s="446"/>
      <c r="G2196" s="446"/>
      <c r="H2196" s="446"/>
      <c r="I2196" s="29"/>
      <c r="J2196" s="80"/>
      <c r="K2196" s="80">
        <f>SUM(I2196:J2196)</f>
        <v>0</v>
      </c>
      <c r="L2196" s="80"/>
    </row>
    <row r="2197" spans="1:12" s="82" customFormat="1" ht="13.5" customHeight="1" hidden="1">
      <c r="A2197" s="407"/>
      <c r="C2197" s="149"/>
      <c r="D2197" s="447" t="s">
        <v>38</v>
      </c>
      <c r="E2197" s="447"/>
      <c r="F2197" s="447"/>
      <c r="G2197" s="447"/>
      <c r="H2197" s="447"/>
      <c r="I2197" s="256">
        <f>SUM(I2198:I2203)</f>
        <v>0</v>
      </c>
      <c r="J2197" s="256">
        <f>SUM(J2198:J2203)</f>
        <v>0</v>
      </c>
      <c r="K2197" s="256">
        <f>SUM(K2198:K2203)</f>
        <v>0</v>
      </c>
      <c r="L2197" s="80"/>
    </row>
    <row r="2198" spans="1:12" s="82" customFormat="1" ht="13.5" customHeight="1" hidden="1">
      <c r="A2198" s="407"/>
      <c r="C2198" s="149"/>
      <c r="D2198" s="446" t="s">
        <v>289</v>
      </c>
      <c r="E2198" s="446"/>
      <c r="F2198" s="446"/>
      <c r="G2198" s="446"/>
      <c r="H2198" s="446"/>
      <c r="I2198" s="29"/>
      <c r="J2198" s="80"/>
      <c r="K2198" s="80">
        <f aca="true" t="shared" si="149" ref="K2198:K2203">SUM(I2198:J2198)</f>
        <v>0</v>
      </c>
      <c r="L2198" s="80"/>
    </row>
    <row r="2199" spans="1:12" s="82" customFormat="1" ht="13.5" customHeight="1" hidden="1">
      <c r="A2199" s="407"/>
      <c r="C2199" s="149"/>
      <c r="D2199" s="444" t="s">
        <v>8</v>
      </c>
      <c r="E2199" s="448"/>
      <c r="F2199" s="448"/>
      <c r="G2199" s="448"/>
      <c r="H2199" s="448"/>
      <c r="I2199" s="29"/>
      <c r="J2199" s="80"/>
      <c r="K2199" s="80">
        <f t="shared" si="149"/>
        <v>0</v>
      </c>
      <c r="L2199" s="80"/>
    </row>
    <row r="2200" spans="1:12" s="82" customFormat="1" ht="13.5" customHeight="1" hidden="1">
      <c r="A2200" s="407"/>
      <c r="C2200" s="149"/>
      <c r="D2200" s="444" t="s">
        <v>10</v>
      </c>
      <c r="E2200" s="444"/>
      <c r="F2200" s="444"/>
      <c r="G2200" s="444"/>
      <c r="H2200" s="444"/>
      <c r="I2200" s="29"/>
      <c r="J2200" s="80"/>
      <c r="K2200" s="80">
        <f t="shared" si="149"/>
        <v>0</v>
      </c>
      <c r="L2200" s="80"/>
    </row>
    <row r="2201" spans="1:12" s="82" customFormat="1" ht="13.5" customHeight="1" hidden="1">
      <c r="A2201" s="407"/>
      <c r="C2201" s="149"/>
      <c r="D2201" s="444" t="s">
        <v>9</v>
      </c>
      <c r="E2201" s="444"/>
      <c r="F2201" s="444"/>
      <c r="G2201" s="444"/>
      <c r="H2201" s="444"/>
      <c r="I2201" s="29"/>
      <c r="J2201" s="80"/>
      <c r="K2201" s="80">
        <f t="shared" si="149"/>
        <v>0</v>
      </c>
      <c r="L2201" s="80"/>
    </row>
    <row r="2202" spans="1:12" s="82" customFormat="1" ht="13.5" customHeight="1" hidden="1">
      <c r="A2202" s="407"/>
      <c r="C2202" s="149"/>
      <c r="D2202" s="444" t="s">
        <v>11</v>
      </c>
      <c r="E2202" s="444"/>
      <c r="F2202" s="444"/>
      <c r="G2202" s="444"/>
      <c r="H2202" s="444"/>
      <c r="I2202" s="29"/>
      <c r="J2202" s="80"/>
      <c r="K2202" s="80">
        <f t="shared" si="149"/>
        <v>0</v>
      </c>
      <c r="L2202" s="80"/>
    </row>
    <row r="2203" spans="1:12" s="82" customFormat="1" ht="13.5" customHeight="1" hidden="1">
      <c r="A2203" s="407"/>
      <c r="C2203" s="149"/>
      <c r="D2203" s="444" t="s">
        <v>12</v>
      </c>
      <c r="E2203" s="444"/>
      <c r="F2203" s="444"/>
      <c r="G2203" s="444"/>
      <c r="H2203" s="444"/>
      <c r="I2203" s="29"/>
      <c r="J2203" s="80"/>
      <c r="K2203" s="80">
        <f t="shared" si="149"/>
        <v>0</v>
      </c>
      <c r="L2203" s="80"/>
    </row>
    <row r="2204" spans="1:12" s="82" customFormat="1" ht="13.5" customHeight="1" hidden="1">
      <c r="A2204" s="407"/>
      <c r="C2204" s="149"/>
      <c r="D2204" s="445" t="s">
        <v>277</v>
      </c>
      <c r="E2204" s="445"/>
      <c r="F2204" s="445"/>
      <c r="G2204" s="445"/>
      <c r="H2204" s="445"/>
      <c r="I2204" s="77">
        <f>I2193-I2197</f>
        <v>0</v>
      </c>
      <c r="J2204" s="77">
        <f>J2193-J2197</f>
        <v>0</v>
      </c>
      <c r="K2204" s="77">
        <f>K2193-K2197</f>
        <v>0</v>
      </c>
      <c r="L2204" s="80"/>
    </row>
    <row r="2205" spans="1:12" s="82" customFormat="1" ht="13.5" customHeight="1" hidden="1">
      <c r="A2205" s="407"/>
      <c r="C2205" s="149"/>
      <c r="D2205" s="444" t="s">
        <v>279</v>
      </c>
      <c r="E2205" s="444"/>
      <c r="F2205" s="444"/>
      <c r="G2205" s="444"/>
      <c r="H2205" s="444"/>
      <c r="I2205" s="29">
        <f>I2206+I2207+I2208</f>
        <v>0</v>
      </c>
      <c r="J2205" s="29">
        <f>J2206+J2207+J2208</f>
        <v>0</v>
      </c>
      <c r="K2205" s="29">
        <f>K2206+K2207+K2208</f>
        <v>0</v>
      </c>
      <c r="L2205" s="80"/>
    </row>
    <row r="2206" spans="1:12" s="82" customFormat="1" ht="13.5" customHeight="1" hidden="1">
      <c r="A2206" s="407"/>
      <c r="C2206" s="149"/>
      <c r="D2206" s="444" t="s">
        <v>278</v>
      </c>
      <c r="E2206" s="444"/>
      <c r="F2206" s="444"/>
      <c r="G2206" s="444"/>
      <c r="H2206" s="444"/>
      <c r="I2206" s="29"/>
      <c r="J2206" s="77"/>
      <c r="K2206" s="80">
        <f>SUM(I2206:J2206)</f>
        <v>0</v>
      </c>
      <c r="L2206" s="80"/>
    </row>
    <row r="2207" spans="1:12" s="82" customFormat="1" ht="13.5" customHeight="1" hidden="1">
      <c r="A2207" s="407"/>
      <c r="C2207" s="149"/>
      <c r="D2207" s="444" t="s">
        <v>280</v>
      </c>
      <c r="E2207" s="444"/>
      <c r="F2207" s="444"/>
      <c r="G2207" s="444"/>
      <c r="H2207" s="444"/>
      <c r="I2207" s="29"/>
      <c r="J2207" s="77"/>
      <c r="K2207" s="80">
        <f>SUM(I2207:J2207)</f>
        <v>0</v>
      </c>
      <c r="L2207" s="80"/>
    </row>
    <row r="2208" spans="1:12" s="82" customFormat="1" ht="13.5" customHeight="1" hidden="1">
      <c r="A2208" s="407"/>
      <c r="C2208" s="149"/>
      <c r="D2208" s="444" t="s">
        <v>281</v>
      </c>
      <c r="E2208" s="444"/>
      <c r="F2208" s="444"/>
      <c r="G2208" s="444"/>
      <c r="H2208" s="444"/>
      <c r="I2208" s="29"/>
      <c r="J2208" s="77"/>
      <c r="K2208" s="80">
        <f>SUM(I2208:J2208)</f>
        <v>0</v>
      </c>
      <c r="L2208" s="80"/>
    </row>
    <row r="2209" spans="1:12" s="82" customFormat="1" ht="24.75" customHeight="1">
      <c r="A2209" s="407"/>
      <c r="C2209" s="149"/>
      <c r="D2209" s="81"/>
      <c r="E2209" s="81"/>
      <c r="F2209" s="81"/>
      <c r="G2209" s="81"/>
      <c r="H2209" s="81"/>
      <c r="I2209" s="29"/>
      <c r="J2209" s="80"/>
      <c r="K2209" s="80"/>
      <c r="L2209" s="80"/>
    </row>
    <row r="2210" spans="1:12" s="95" customFormat="1" ht="12" customHeight="1">
      <c r="A2210" s="407"/>
      <c r="C2210" s="166" t="s">
        <v>109</v>
      </c>
      <c r="D2210" s="439" t="s">
        <v>46</v>
      </c>
      <c r="E2210" s="439"/>
      <c r="F2210" s="439"/>
      <c r="G2210" s="439"/>
      <c r="H2210" s="439"/>
      <c r="I2210" s="129"/>
      <c r="J2210" s="127"/>
      <c r="K2210" s="127"/>
      <c r="L2210" s="127"/>
    </row>
    <row r="2211" spans="1:12" s="82" customFormat="1" ht="13.5" customHeight="1">
      <c r="A2211" s="407"/>
      <c r="C2211" s="151"/>
      <c r="D2211" s="447" t="s">
        <v>37</v>
      </c>
      <c r="E2211" s="447"/>
      <c r="F2211" s="447"/>
      <c r="G2211" s="447"/>
      <c r="H2211" s="447"/>
      <c r="I2211" s="77">
        <f>SUM(I2212:I2214)</f>
        <v>8967343</v>
      </c>
      <c r="J2211" s="77">
        <f>SUM(J2212:J2214)</f>
        <v>1050973</v>
      </c>
      <c r="K2211" s="77">
        <f>SUM(K2212:K2214)</f>
        <v>10018316</v>
      </c>
      <c r="L2211" s="80"/>
    </row>
    <row r="2212" spans="1:12" s="82" customFormat="1" ht="13.5" customHeight="1">
      <c r="A2212" s="407"/>
      <c r="C2212" s="151"/>
      <c r="D2212" s="446" t="s">
        <v>5</v>
      </c>
      <c r="E2212" s="446"/>
      <c r="F2212" s="446"/>
      <c r="G2212" s="446"/>
      <c r="H2212" s="446"/>
      <c r="I2212" s="29">
        <f aca="true" t="shared" si="150" ref="I2212:K2214">I2230+I2248+I2266+I2284+I2302+I2320+I2338+I2356</f>
        <v>3054051</v>
      </c>
      <c r="J2212" s="29">
        <f t="shared" si="150"/>
        <v>137221</v>
      </c>
      <c r="K2212" s="29">
        <f t="shared" si="150"/>
        <v>3191272</v>
      </c>
      <c r="L2212" s="80"/>
    </row>
    <row r="2213" spans="1:12" s="82" customFormat="1" ht="13.5" customHeight="1">
      <c r="A2213" s="407"/>
      <c r="C2213" s="151"/>
      <c r="D2213" s="446" t="s">
        <v>6</v>
      </c>
      <c r="E2213" s="446"/>
      <c r="F2213" s="446"/>
      <c r="G2213" s="446"/>
      <c r="H2213" s="446"/>
      <c r="I2213" s="29">
        <f t="shared" si="150"/>
        <v>429718</v>
      </c>
      <c r="J2213" s="29">
        <f t="shared" si="150"/>
        <v>0</v>
      </c>
      <c r="K2213" s="29">
        <f t="shared" si="150"/>
        <v>429718</v>
      </c>
      <c r="L2213" s="80"/>
    </row>
    <row r="2214" spans="1:12" s="82" customFormat="1" ht="13.5" customHeight="1">
      <c r="A2214" s="407"/>
      <c r="C2214" s="151"/>
      <c r="D2214" s="446" t="s">
        <v>7</v>
      </c>
      <c r="E2214" s="446"/>
      <c r="F2214" s="446"/>
      <c r="G2214" s="446"/>
      <c r="H2214" s="446"/>
      <c r="I2214" s="29">
        <f t="shared" si="150"/>
        <v>5483574</v>
      </c>
      <c r="J2214" s="29">
        <f t="shared" si="150"/>
        <v>913752</v>
      </c>
      <c r="K2214" s="29">
        <f t="shared" si="150"/>
        <v>6397326</v>
      </c>
      <c r="L2214" s="80"/>
    </row>
    <row r="2215" spans="1:12" s="82" customFormat="1" ht="11.25" customHeight="1">
      <c r="A2215" s="407"/>
      <c r="C2215" s="151"/>
      <c r="D2215" s="447" t="s">
        <v>38</v>
      </c>
      <c r="E2215" s="447"/>
      <c r="F2215" s="447"/>
      <c r="G2215" s="447"/>
      <c r="H2215" s="447"/>
      <c r="I2215" s="254">
        <f>SUM(I2216:I2221)</f>
        <v>9051272</v>
      </c>
      <c r="J2215" s="254">
        <f>SUM(J2216:J2221)</f>
        <v>1050973</v>
      </c>
      <c r="K2215" s="254">
        <f>SUM(K2216:K2221)</f>
        <v>10102245</v>
      </c>
      <c r="L2215" s="80"/>
    </row>
    <row r="2216" spans="1:12" s="82" customFormat="1" ht="13.5" customHeight="1">
      <c r="A2216" s="407"/>
      <c r="C2216" s="151"/>
      <c r="D2216" s="446" t="s">
        <v>289</v>
      </c>
      <c r="E2216" s="446"/>
      <c r="F2216" s="446"/>
      <c r="G2216" s="446"/>
      <c r="H2216" s="446"/>
      <c r="I2216" s="29">
        <f aca="true" t="shared" si="151" ref="I2216:K2221">I2234+I2252+I2270+I2288+I2306+I2324+I2342+I2360</f>
        <v>7070053</v>
      </c>
      <c r="J2216" s="29">
        <f t="shared" si="151"/>
        <v>1003648</v>
      </c>
      <c r="K2216" s="29">
        <f t="shared" si="151"/>
        <v>8073701</v>
      </c>
      <c r="L2216" s="80"/>
    </row>
    <row r="2217" spans="1:13" s="79" customFormat="1" ht="12" customHeight="1">
      <c r="A2217" s="407"/>
      <c r="C2217" s="151"/>
      <c r="D2217" s="444" t="s">
        <v>8</v>
      </c>
      <c r="E2217" s="448"/>
      <c r="F2217" s="448"/>
      <c r="G2217" s="448"/>
      <c r="H2217" s="448"/>
      <c r="I2217" s="29">
        <f t="shared" si="151"/>
        <v>1513411</v>
      </c>
      <c r="J2217" s="29">
        <f t="shared" si="151"/>
        <v>13964</v>
      </c>
      <c r="K2217" s="29">
        <f t="shared" si="151"/>
        <v>1527375</v>
      </c>
      <c r="L2217" s="80"/>
      <c r="M2217" s="82"/>
    </row>
    <row r="2218" spans="1:12" s="82" customFormat="1" ht="13.5" customHeight="1" hidden="1">
      <c r="A2218" s="407"/>
      <c r="C2218" s="149"/>
      <c r="D2218" s="444" t="s">
        <v>10</v>
      </c>
      <c r="E2218" s="444"/>
      <c r="F2218" s="444"/>
      <c r="G2218" s="444"/>
      <c r="H2218" s="444"/>
      <c r="I2218" s="29">
        <f t="shared" si="151"/>
        <v>0</v>
      </c>
      <c r="J2218" s="29">
        <f t="shared" si="151"/>
        <v>0</v>
      </c>
      <c r="K2218" s="29">
        <f t="shared" si="151"/>
        <v>0</v>
      </c>
      <c r="L2218" s="80"/>
    </row>
    <row r="2219" spans="1:12" s="82" customFormat="1" ht="13.5" customHeight="1" hidden="1">
      <c r="A2219" s="407"/>
      <c r="C2219" s="149"/>
      <c r="D2219" s="444" t="s">
        <v>9</v>
      </c>
      <c r="E2219" s="444"/>
      <c r="F2219" s="444"/>
      <c r="G2219" s="444"/>
      <c r="H2219" s="444"/>
      <c r="I2219" s="29">
        <f t="shared" si="151"/>
        <v>0</v>
      </c>
      <c r="J2219" s="29">
        <f t="shared" si="151"/>
        <v>0</v>
      </c>
      <c r="K2219" s="29">
        <f t="shared" si="151"/>
        <v>0</v>
      </c>
      <c r="L2219" s="80"/>
    </row>
    <row r="2220" spans="1:12" s="82" customFormat="1" ht="13.5" customHeight="1">
      <c r="A2220" s="407"/>
      <c r="C2220" s="149"/>
      <c r="D2220" s="444" t="s">
        <v>11</v>
      </c>
      <c r="E2220" s="444"/>
      <c r="F2220" s="444"/>
      <c r="G2220" s="444"/>
      <c r="H2220" s="444"/>
      <c r="I2220" s="29">
        <f t="shared" si="151"/>
        <v>442403</v>
      </c>
      <c r="J2220" s="29">
        <f t="shared" si="151"/>
        <v>22825</v>
      </c>
      <c r="K2220" s="29">
        <f t="shared" si="151"/>
        <v>465228</v>
      </c>
      <c r="L2220" s="80"/>
    </row>
    <row r="2221" spans="1:12" s="82" customFormat="1" ht="13.5" customHeight="1">
      <c r="A2221" s="407"/>
      <c r="C2221" s="149"/>
      <c r="D2221" s="444" t="s">
        <v>12</v>
      </c>
      <c r="E2221" s="444"/>
      <c r="F2221" s="444"/>
      <c r="G2221" s="444"/>
      <c r="H2221" s="444"/>
      <c r="I2221" s="29">
        <f t="shared" si="151"/>
        <v>25405</v>
      </c>
      <c r="J2221" s="29">
        <f t="shared" si="151"/>
        <v>10536</v>
      </c>
      <c r="K2221" s="29">
        <f t="shared" si="151"/>
        <v>35941</v>
      </c>
      <c r="L2221" s="80"/>
    </row>
    <row r="2222" spans="1:12" s="82" customFormat="1" ht="13.5" customHeight="1">
      <c r="A2222" s="407"/>
      <c r="C2222" s="149"/>
      <c r="D2222" s="445" t="s">
        <v>277</v>
      </c>
      <c r="E2222" s="445"/>
      <c r="F2222" s="445"/>
      <c r="G2222" s="445"/>
      <c r="H2222" s="445"/>
      <c r="I2222" s="77">
        <f>I2211-I2215</f>
        <v>-83929</v>
      </c>
      <c r="J2222" s="77">
        <f>J2211-J2215</f>
        <v>0</v>
      </c>
      <c r="K2222" s="77">
        <f>K2211-K2215</f>
        <v>-83929</v>
      </c>
      <c r="L2222" s="80"/>
    </row>
    <row r="2223" spans="1:12" s="82" customFormat="1" ht="13.5" customHeight="1">
      <c r="A2223" s="407"/>
      <c r="C2223" s="149"/>
      <c r="D2223" s="444" t="s">
        <v>279</v>
      </c>
      <c r="E2223" s="444"/>
      <c r="F2223" s="444"/>
      <c r="G2223" s="444"/>
      <c r="H2223" s="444"/>
      <c r="I2223" s="29">
        <f>I2224+I2225+I2226</f>
        <v>83929</v>
      </c>
      <c r="J2223" s="29">
        <f>J2224+J2225+J2226</f>
        <v>0</v>
      </c>
      <c r="K2223" s="29">
        <f>K2224+K2225+K2226</f>
        <v>83929</v>
      </c>
      <c r="L2223" s="80"/>
    </row>
    <row r="2224" spans="1:12" s="82" customFormat="1" ht="13.5" customHeight="1">
      <c r="A2224" s="407"/>
      <c r="C2224" s="149"/>
      <c r="D2224" s="444" t="s">
        <v>278</v>
      </c>
      <c r="E2224" s="444"/>
      <c r="F2224" s="444"/>
      <c r="G2224" s="444"/>
      <c r="H2224" s="444"/>
      <c r="I2224" s="29">
        <f aca="true" t="shared" si="152" ref="I2224:K2226">I2242+I2260+I2278+I2296+I2314+I2332+I2350+I2368</f>
        <v>83929</v>
      </c>
      <c r="J2224" s="29">
        <f t="shared" si="152"/>
        <v>0</v>
      </c>
      <c r="K2224" s="29">
        <f t="shared" si="152"/>
        <v>83929</v>
      </c>
      <c r="L2224" s="80"/>
    </row>
    <row r="2225" spans="1:12" s="82" customFormat="1" ht="14.25" customHeight="1" hidden="1">
      <c r="A2225" s="407"/>
      <c r="C2225" s="149"/>
      <c r="D2225" s="444" t="s">
        <v>280</v>
      </c>
      <c r="E2225" s="444"/>
      <c r="F2225" s="444"/>
      <c r="G2225" s="444"/>
      <c r="H2225" s="444"/>
      <c r="I2225" s="29">
        <f t="shared" si="152"/>
        <v>0</v>
      </c>
      <c r="J2225" s="29">
        <f t="shared" si="152"/>
        <v>0</v>
      </c>
      <c r="K2225" s="29">
        <f t="shared" si="152"/>
        <v>0</v>
      </c>
      <c r="L2225" s="80"/>
    </row>
    <row r="2226" spans="1:12" s="82" customFormat="1" ht="14.25" customHeight="1" hidden="1">
      <c r="A2226" s="407"/>
      <c r="C2226" s="149"/>
      <c r="D2226" s="444" t="s">
        <v>281</v>
      </c>
      <c r="E2226" s="444"/>
      <c r="F2226" s="444"/>
      <c r="G2226" s="444"/>
      <c r="H2226" s="444"/>
      <c r="I2226" s="29">
        <f t="shared" si="152"/>
        <v>0</v>
      </c>
      <c r="J2226" s="29">
        <f t="shared" si="152"/>
        <v>0</v>
      </c>
      <c r="K2226" s="29">
        <f t="shared" si="152"/>
        <v>0</v>
      </c>
      <c r="L2226" s="80"/>
    </row>
    <row r="2227" spans="1:12" s="82" customFormat="1" ht="24.75" customHeight="1">
      <c r="A2227" s="407"/>
      <c r="C2227" s="149"/>
      <c r="D2227" s="81"/>
      <c r="E2227" s="81"/>
      <c r="F2227" s="81"/>
      <c r="G2227" s="81"/>
      <c r="H2227" s="81"/>
      <c r="I2227" s="29"/>
      <c r="J2227" s="29"/>
      <c r="K2227" s="29"/>
      <c r="L2227" s="80"/>
    </row>
    <row r="2228" spans="1:12" s="95" customFormat="1" ht="14.25" customHeight="1">
      <c r="A2228" s="407"/>
      <c r="C2228" s="153" t="s">
        <v>109</v>
      </c>
      <c r="D2228" s="449" t="s">
        <v>207</v>
      </c>
      <c r="E2228" s="449"/>
      <c r="F2228" s="449"/>
      <c r="G2228" s="449"/>
      <c r="H2228" s="449"/>
      <c r="I2228" s="129"/>
      <c r="J2228" s="127"/>
      <c r="K2228" s="127"/>
      <c r="L2228" s="127"/>
    </row>
    <row r="2229" spans="1:12" s="82" customFormat="1" ht="13.5" customHeight="1">
      <c r="A2229" s="407"/>
      <c r="C2229" s="149"/>
      <c r="D2229" s="447" t="s">
        <v>37</v>
      </c>
      <c r="E2229" s="447"/>
      <c r="F2229" s="447"/>
      <c r="G2229" s="447"/>
      <c r="H2229" s="447"/>
      <c r="I2229" s="77">
        <f>SUM(I2230:I2232)</f>
        <v>3390722</v>
      </c>
      <c r="J2229" s="77">
        <f>SUM(J2230:J2232)</f>
        <v>135253</v>
      </c>
      <c r="K2229" s="77">
        <f>SUM(K2230:K2232)</f>
        <v>3525975</v>
      </c>
      <c r="L2229" s="80"/>
    </row>
    <row r="2230" spans="1:12" s="82" customFormat="1" ht="13.5" customHeight="1">
      <c r="A2230" s="407"/>
      <c r="C2230" s="149"/>
      <c r="D2230" s="446" t="s">
        <v>5</v>
      </c>
      <c r="E2230" s="446"/>
      <c r="F2230" s="446"/>
      <c r="G2230" s="446"/>
      <c r="H2230" s="446"/>
      <c r="I2230" s="29">
        <f>2970562+250+8100</f>
        <v>2978912</v>
      </c>
      <c r="J2230" s="80">
        <f>131398+3855</f>
        <v>135253</v>
      </c>
      <c r="K2230" s="80">
        <f>SUM(I2230:J2230)</f>
        <v>3114165</v>
      </c>
      <c r="L2230" s="80"/>
    </row>
    <row r="2231" spans="1:12" s="82" customFormat="1" ht="13.5" customHeight="1">
      <c r="A2231" s="407"/>
      <c r="C2231" s="149"/>
      <c r="D2231" s="446" t="s">
        <v>6</v>
      </c>
      <c r="E2231" s="446"/>
      <c r="F2231" s="446"/>
      <c r="G2231" s="446"/>
      <c r="H2231" s="446"/>
      <c r="I2231" s="29">
        <f>413778-1968</f>
        <v>411810</v>
      </c>
      <c r="J2231" s="80"/>
      <c r="K2231" s="80">
        <f>SUM(I2231:J2231)</f>
        <v>411810</v>
      </c>
      <c r="L2231" s="80"/>
    </row>
    <row r="2232" spans="1:12" s="82" customFormat="1" ht="13.5" customHeight="1" hidden="1">
      <c r="A2232" s="407"/>
      <c r="C2232" s="149"/>
      <c r="D2232" s="446" t="s">
        <v>7</v>
      </c>
      <c r="E2232" s="446"/>
      <c r="F2232" s="446"/>
      <c r="G2232" s="446"/>
      <c r="H2232" s="446"/>
      <c r="I2232" s="29"/>
      <c r="J2232" s="80"/>
      <c r="K2232" s="80">
        <f>SUM(I2232:J2232)</f>
        <v>0</v>
      </c>
      <c r="L2232" s="80"/>
    </row>
    <row r="2233" spans="1:12" s="82" customFormat="1" ht="13.5" customHeight="1">
      <c r="A2233" s="407"/>
      <c r="C2233" s="149"/>
      <c r="D2233" s="447" t="s">
        <v>38</v>
      </c>
      <c r="E2233" s="447"/>
      <c r="F2233" s="447"/>
      <c r="G2233" s="447"/>
      <c r="H2233" s="447"/>
      <c r="I2233" s="256">
        <f>SUM(I2234:I2239)</f>
        <v>3455462</v>
      </c>
      <c r="J2233" s="256">
        <f>SUM(J2234:J2239)</f>
        <v>135253</v>
      </c>
      <c r="K2233" s="256">
        <f>SUM(K2234:K2239)</f>
        <v>3590715</v>
      </c>
      <c r="L2233" s="80"/>
    </row>
    <row r="2234" spans="1:12" s="82" customFormat="1" ht="13.5" customHeight="1">
      <c r="A2234" s="407"/>
      <c r="C2234" s="149"/>
      <c r="D2234" s="446" t="s">
        <v>289</v>
      </c>
      <c r="E2234" s="446"/>
      <c r="F2234" s="446"/>
      <c r="G2234" s="446"/>
      <c r="H2234" s="446"/>
      <c r="I2234" s="29">
        <f>1685320+167243-5300+4758</f>
        <v>1852021</v>
      </c>
      <c r="J2234" s="80">
        <f>-21950+125825+3855</f>
        <v>107730</v>
      </c>
      <c r="K2234" s="80">
        <f aca="true" t="shared" si="153" ref="K2234:K2239">SUM(I2234:J2234)</f>
        <v>1959751</v>
      </c>
      <c r="L2234" s="80"/>
    </row>
    <row r="2235" spans="1:12" s="82" customFormat="1" ht="13.5" customHeight="1">
      <c r="A2235" s="407"/>
      <c r="C2235" s="149"/>
      <c r="D2235" s="444" t="s">
        <v>8</v>
      </c>
      <c r="E2235" s="448"/>
      <c r="F2235" s="448"/>
      <c r="G2235" s="448"/>
      <c r="H2235" s="448"/>
      <c r="I2235" s="29">
        <f>1041762+262844+14204+3848</f>
        <v>1322658</v>
      </c>
      <c r="J2235" s="80"/>
      <c r="K2235" s="80">
        <f t="shared" si="153"/>
        <v>1322658</v>
      </c>
      <c r="L2235" s="80"/>
    </row>
    <row r="2236" spans="1:12" s="82" customFormat="1" ht="13.5" customHeight="1" hidden="1">
      <c r="A2236" s="407"/>
      <c r="C2236" s="149"/>
      <c r="D2236" s="444" t="s">
        <v>10</v>
      </c>
      <c r="E2236" s="444"/>
      <c r="F2236" s="444"/>
      <c r="G2236" s="444"/>
      <c r="H2236" s="444"/>
      <c r="I2236" s="29"/>
      <c r="J2236" s="80"/>
      <c r="K2236" s="80">
        <f t="shared" si="153"/>
        <v>0</v>
      </c>
      <c r="L2236" s="80"/>
    </row>
    <row r="2237" spans="1:12" s="82" customFormat="1" ht="13.5" customHeight="1" hidden="1">
      <c r="A2237" s="407"/>
      <c r="C2237" s="149"/>
      <c r="D2237" s="444" t="s">
        <v>9</v>
      </c>
      <c r="E2237" s="444"/>
      <c r="F2237" s="444"/>
      <c r="G2237" s="444"/>
      <c r="H2237" s="444"/>
      <c r="I2237" s="29"/>
      <c r="J2237" s="80"/>
      <c r="K2237" s="80">
        <f t="shared" si="153"/>
        <v>0</v>
      </c>
      <c r="L2237" s="80"/>
    </row>
    <row r="2238" spans="1:12" s="82" customFormat="1" ht="14.25" customHeight="1">
      <c r="A2238" s="407"/>
      <c r="C2238" s="149"/>
      <c r="D2238" s="444" t="s">
        <v>11</v>
      </c>
      <c r="E2238" s="444"/>
      <c r="F2238" s="444"/>
      <c r="G2238" s="444"/>
      <c r="H2238" s="444"/>
      <c r="I2238" s="29">
        <f>243480+48431-10622-506</f>
        <v>280783</v>
      </c>
      <c r="J2238" s="80">
        <f>21950+5573</f>
        <v>27523</v>
      </c>
      <c r="K2238" s="80">
        <f t="shared" si="153"/>
        <v>308306</v>
      </c>
      <c r="L2238" s="80"/>
    </row>
    <row r="2239" spans="1:12" s="82" customFormat="1" ht="13.5" customHeight="1" hidden="1">
      <c r="A2239" s="407"/>
      <c r="C2239" s="149"/>
      <c r="D2239" s="444" t="s">
        <v>12</v>
      </c>
      <c r="E2239" s="444"/>
      <c r="F2239" s="444"/>
      <c r="G2239" s="444"/>
      <c r="H2239" s="444"/>
      <c r="I2239" s="29"/>
      <c r="J2239" s="77"/>
      <c r="K2239" s="80">
        <f t="shared" si="153"/>
        <v>0</v>
      </c>
      <c r="L2239" s="80"/>
    </row>
    <row r="2240" spans="1:12" s="82" customFormat="1" ht="13.5" customHeight="1">
      <c r="A2240" s="407"/>
      <c r="C2240" s="149"/>
      <c r="D2240" s="445" t="s">
        <v>277</v>
      </c>
      <c r="E2240" s="445"/>
      <c r="F2240" s="445"/>
      <c r="G2240" s="445"/>
      <c r="H2240" s="445"/>
      <c r="I2240" s="77">
        <f>I2229-I2233</f>
        <v>-64740</v>
      </c>
      <c r="J2240" s="77">
        <f>J2229-J2233</f>
        <v>0</v>
      </c>
      <c r="K2240" s="77">
        <f>K2229-K2233</f>
        <v>-64740</v>
      </c>
      <c r="L2240" s="80"/>
    </row>
    <row r="2241" spans="1:12" s="82" customFormat="1" ht="13.5" customHeight="1">
      <c r="A2241" s="407"/>
      <c r="C2241" s="149"/>
      <c r="D2241" s="444" t="s">
        <v>279</v>
      </c>
      <c r="E2241" s="444"/>
      <c r="F2241" s="444"/>
      <c r="G2241" s="444"/>
      <c r="H2241" s="444"/>
      <c r="I2241" s="29">
        <f>I2242+I2243+I2244</f>
        <v>64740</v>
      </c>
      <c r="J2241" s="29">
        <f>J2242+J2243+J2244</f>
        <v>0</v>
      </c>
      <c r="K2241" s="29">
        <f>K2242+K2243+K2244</f>
        <v>64740</v>
      </c>
      <c r="L2241" s="80"/>
    </row>
    <row r="2242" spans="1:12" s="82" customFormat="1" ht="12.75" customHeight="1">
      <c r="A2242" s="407"/>
      <c r="C2242" s="149"/>
      <c r="D2242" s="444" t="s">
        <v>278</v>
      </c>
      <c r="E2242" s="444"/>
      <c r="F2242" s="444"/>
      <c r="G2242" s="444"/>
      <c r="H2242" s="444"/>
      <c r="I2242" s="29">
        <v>64740</v>
      </c>
      <c r="J2242" s="77"/>
      <c r="K2242" s="80">
        <f>SUM(I2242:J2242)</f>
        <v>64740</v>
      </c>
      <c r="L2242" s="80"/>
    </row>
    <row r="2243" spans="1:12" s="82" customFormat="1" ht="13.5" customHeight="1" hidden="1">
      <c r="A2243" s="407"/>
      <c r="C2243" s="149"/>
      <c r="D2243" s="444" t="s">
        <v>280</v>
      </c>
      <c r="E2243" s="444"/>
      <c r="F2243" s="444"/>
      <c r="G2243" s="444"/>
      <c r="H2243" s="444"/>
      <c r="I2243" s="29"/>
      <c r="J2243" s="77"/>
      <c r="K2243" s="80">
        <f>SUM(I2243:J2243)</f>
        <v>0</v>
      </c>
      <c r="L2243" s="80"/>
    </row>
    <row r="2244" spans="1:12" s="82" customFormat="1" ht="13.5" customHeight="1" hidden="1">
      <c r="A2244" s="407"/>
      <c r="C2244" s="149"/>
      <c r="D2244" s="444" t="s">
        <v>281</v>
      </c>
      <c r="E2244" s="444"/>
      <c r="F2244" s="444"/>
      <c r="G2244" s="444"/>
      <c r="H2244" s="444"/>
      <c r="I2244" s="29"/>
      <c r="J2244" s="77"/>
      <c r="K2244" s="80">
        <f>SUM(I2244:J2244)</f>
        <v>0</v>
      </c>
      <c r="L2244" s="80"/>
    </row>
    <row r="2245" spans="1:12" s="82" customFormat="1" ht="18" customHeight="1">
      <c r="A2245" s="407"/>
      <c r="C2245" s="149"/>
      <c r="D2245" s="81"/>
      <c r="E2245" s="81"/>
      <c r="F2245" s="81"/>
      <c r="G2245" s="81"/>
      <c r="H2245" s="81"/>
      <c r="I2245" s="29"/>
      <c r="J2245" s="80"/>
      <c r="K2245" s="29"/>
      <c r="L2245" s="80"/>
    </row>
    <row r="2246" spans="1:12" s="95" customFormat="1" ht="13.5" customHeight="1">
      <c r="A2246" s="407"/>
      <c r="C2246" s="153" t="s">
        <v>109</v>
      </c>
      <c r="D2246" s="449" t="s">
        <v>207</v>
      </c>
      <c r="E2246" s="449"/>
      <c r="F2246" s="449"/>
      <c r="G2246" s="449"/>
      <c r="H2246" s="449"/>
      <c r="I2246" s="129"/>
      <c r="J2246" s="127"/>
      <c r="K2246" s="127"/>
      <c r="L2246" s="127"/>
    </row>
    <row r="2247" spans="1:12" s="82" customFormat="1" ht="12" customHeight="1">
      <c r="A2247" s="407"/>
      <c r="C2247" s="149"/>
      <c r="D2247" s="447" t="s">
        <v>37</v>
      </c>
      <c r="E2247" s="447"/>
      <c r="F2247" s="447"/>
      <c r="G2247" s="447"/>
      <c r="H2247" s="447"/>
      <c r="I2247" s="77">
        <f>SUM(I2248:I2250)</f>
        <v>4701580</v>
      </c>
      <c r="J2247" s="77">
        <f>SUM(J2248:J2250)</f>
        <v>843232</v>
      </c>
      <c r="K2247" s="77">
        <f>SUM(K2248:K2250)</f>
        <v>5544812</v>
      </c>
      <c r="L2247" s="80"/>
    </row>
    <row r="2248" spans="1:12" s="82" customFormat="1" ht="13.5" customHeight="1" hidden="1">
      <c r="A2248" s="407"/>
      <c r="C2248" s="149"/>
      <c r="D2248" s="446" t="s">
        <v>5</v>
      </c>
      <c r="E2248" s="446"/>
      <c r="F2248" s="446"/>
      <c r="G2248" s="446"/>
      <c r="H2248" s="446"/>
      <c r="I2248" s="29"/>
      <c r="J2248" s="80"/>
      <c r="K2248" s="80">
        <f>SUM(I2248:J2248)</f>
        <v>0</v>
      </c>
      <c r="L2248" s="80"/>
    </row>
    <row r="2249" spans="1:12" s="82" customFormat="1" ht="13.5" customHeight="1" hidden="1">
      <c r="A2249" s="407"/>
      <c r="C2249" s="149"/>
      <c r="D2249" s="446" t="s">
        <v>6</v>
      </c>
      <c r="E2249" s="446"/>
      <c r="F2249" s="446"/>
      <c r="G2249" s="446"/>
      <c r="H2249" s="446"/>
      <c r="I2249" s="29"/>
      <c r="J2249" s="80"/>
      <c r="K2249" s="80">
        <f>SUM(I2249:J2249)</f>
        <v>0</v>
      </c>
      <c r="L2249" s="80"/>
    </row>
    <row r="2250" spans="1:12" s="82" customFormat="1" ht="13.5" customHeight="1">
      <c r="A2250" s="407"/>
      <c r="C2250" s="149"/>
      <c r="D2250" s="446" t="s">
        <v>7</v>
      </c>
      <c r="E2250" s="446"/>
      <c r="F2250" s="446"/>
      <c r="G2250" s="446"/>
      <c r="H2250" s="446"/>
      <c r="I2250" s="29">
        <f>3760432+1000+940148</f>
        <v>4701580</v>
      </c>
      <c r="J2250" s="80">
        <f>843232</f>
        <v>843232</v>
      </c>
      <c r="K2250" s="80">
        <f>SUM(I2250:J2250)</f>
        <v>5544812</v>
      </c>
      <c r="L2250" s="80"/>
    </row>
    <row r="2251" spans="1:12" s="82" customFormat="1" ht="12.75" customHeight="1">
      <c r="A2251" s="407"/>
      <c r="C2251" s="149"/>
      <c r="D2251" s="447" t="s">
        <v>38</v>
      </c>
      <c r="E2251" s="447"/>
      <c r="F2251" s="447"/>
      <c r="G2251" s="447"/>
      <c r="H2251" s="447"/>
      <c r="I2251" s="256">
        <f>SUM(I2252:I2257)</f>
        <v>4701741</v>
      </c>
      <c r="J2251" s="256">
        <f>SUM(J2252:J2257)</f>
        <v>843232</v>
      </c>
      <c r="K2251" s="256">
        <f>SUM(K2252:K2257)</f>
        <v>5544973</v>
      </c>
      <c r="L2251" s="80"/>
    </row>
    <row r="2252" spans="1:12" s="82" customFormat="1" ht="12.75" customHeight="1">
      <c r="A2252" s="407"/>
      <c r="C2252" s="149"/>
      <c r="D2252" s="446" t="s">
        <v>289</v>
      </c>
      <c r="E2252" s="446"/>
      <c r="F2252" s="446"/>
      <c r="G2252" s="446"/>
      <c r="H2252" s="446"/>
      <c r="I2252" s="29">
        <f>3760432+161+940148</f>
        <v>4700741</v>
      </c>
      <c r="J2252" s="80">
        <f>843232</f>
        <v>843232</v>
      </c>
      <c r="K2252" s="80">
        <f aca="true" t="shared" si="154" ref="K2252:K2257">SUM(I2252:J2252)</f>
        <v>5543973</v>
      </c>
      <c r="L2252" s="80"/>
    </row>
    <row r="2253" spans="1:12" s="82" customFormat="1" ht="0.75" customHeight="1" hidden="1">
      <c r="A2253" s="407"/>
      <c r="C2253" s="149"/>
      <c r="D2253" s="444" t="s">
        <v>8</v>
      </c>
      <c r="E2253" s="448"/>
      <c r="F2253" s="448"/>
      <c r="G2253" s="448"/>
      <c r="H2253" s="448"/>
      <c r="I2253" s="29"/>
      <c r="J2253" s="80"/>
      <c r="K2253" s="80">
        <f t="shared" si="154"/>
        <v>0</v>
      </c>
      <c r="L2253" s="80"/>
    </row>
    <row r="2254" spans="1:12" s="82" customFormat="1" ht="9" customHeight="1" hidden="1">
      <c r="A2254" s="407"/>
      <c r="C2254" s="149"/>
      <c r="D2254" s="444" t="s">
        <v>10</v>
      </c>
      <c r="E2254" s="444"/>
      <c r="F2254" s="444"/>
      <c r="G2254" s="444"/>
      <c r="H2254" s="444"/>
      <c r="I2254" s="29"/>
      <c r="J2254" s="80"/>
      <c r="K2254" s="80">
        <f t="shared" si="154"/>
        <v>0</v>
      </c>
      <c r="L2254" s="80"/>
    </row>
    <row r="2255" spans="1:12" s="82" customFormat="1" ht="12.75" customHeight="1" hidden="1">
      <c r="A2255" s="407"/>
      <c r="C2255" s="149"/>
      <c r="D2255" s="444" t="s">
        <v>9</v>
      </c>
      <c r="E2255" s="444"/>
      <c r="F2255" s="444"/>
      <c r="G2255" s="444"/>
      <c r="H2255" s="444"/>
      <c r="I2255" s="29"/>
      <c r="J2255" s="77"/>
      <c r="K2255" s="80">
        <f t="shared" si="154"/>
        <v>0</v>
      </c>
      <c r="L2255" s="80"/>
    </row>
    <row r="2256" spans="1:12" s="82" customFormat="1" ht="12.75" customHeight="1">
      <c r="A2256" s="407"/>
      <c r="C2256" s="149"/>
      <c r="D2256" s="444" t="s">
        <v>11</v>
      </c>
      <c r="E2256" s="444"/>
      <c r="F2256" s="444"/>
      <c r="G2256" s="444"/>
      <c r="H2256" s="444"/>
      <c r="I2256" s="29">
        <f>1000</f>
        <v>1000</v>
      </c>
      <c r="J2256" s="80"/>
      <c r="K2256" s="80">
        <f t="shared" si="154"/>
        <v>1000</v>
      </c>
      <c r="L2256" s="80"/>
    </row>
    <row r="2257" spans="1:12" s="82" customFormat="1" ht="12.75" customHeight="1" hidden="1">
      <c r="A2257" s="407"/>
      <c r="C2257" s="149"/>
      <c r="D2257" s="444" t="s">
        <v>12</v>
      </c>
      <c r="E2257" s="444"/>
      <c r="F2257" s="444"/>
      <c r="G2257" s="444"/>
      <c r="H2257" s="444"/>
      <c r="I2257" s="29"/>
      <c r="J2257" s="77"/>
      <c r="K2257" s="80">
        <f t="shared" si="154"/>
        <v>0</v>
      </c>
      <c r="L2257" s="80"/>
    </row>
    <row r="2258" spans="1:12" s="82" customFormat="1" ht="12.75" customHeight="1">
      <c r="A2258" s="407"/>
      <c r="C2258" s="149"/>
      <c r="D2258" s="445" t="s">
        <v>277</v>
      </c>
      <c r="E2258" s="445"/>
      <c r="F2258" s="445"/>
      <c r="G2258" s="445"/>
      <c r="H2258" s="445"/>
      <c r="I2258" s="77">
        <f>I2247-I2251</f>
        <v>-161</v>
      </c>
      <c r="J2258" s="77">
        <f>J2247-J2251</f>
        <v>0</v>
      </c>
      <c r="K2258" s="77">
        <f>K2247-K2251</f>
        <v>-161</v>
      </c>
      <c r="L2258" s="80"/>
    </row>
    <row r="2259" spans="1:12" s="82" customFormat="1" ht="11.25" customHeight="1">
      <c r="A2259" s="407"/>
      <c r="C2259" s="149"/>
      <c r="D2259" s="444" t="s">
        <v>279</v>
      </c>
      <c r="E2259" s="444"/>
      <c r="F2259" s="444"/>
      <c r="G2259" s="444"/>
      <c r="H2259" s="444"/>
      <c r="I2259" s="29">
        <f>I2260+I2261+I2262</f>
        <v>161</v>
      </c>
      <c r="J2259" s="29">
        <f>J2260+J2261+J2262</f>
        <v>0</v>
      </c>
      <c r="K2259" s="29">
        <f>K2260+K2261+K2262</f>
        <v>161</v>
      </c>
      <c r="L2259" s="80"/>
    </row>
    <row r="2260" spans="1:12" s="82" customFormat="1" ht="12" customHeight="1">
      <c r="A2260" s="407"/>
      <c r="C2260" s="149"/>
      <c r="D2260" s="444" t="s">
        <v>278</v>
      </c>
      <c r="E2260" s="444"/>
      <c r="F2260" s="444"/>
      <c r="G2260" s="444"/>
      <c r="H2260" s="444"/>
      <c r="I2260" s="29">
        <v>161</v>
      </c>
      <c r="J2260" s="77"/>
      <c r="K2260" s="80">
        <f>SUM(I2260:J2260)</f>
        <v>161</v>
      </c>
      <c r="L2260" s="80"/>
    </row>
    <row r="2261" spans="1:12" s="82" customFormat="1" ht="13.5" customHeight="1" hidden="1">
      <c r="A2261" s="407"/>
      <c r="C2261" s="149"/>
      <c r="D2261" s="444" t="s">
        <v>280</v>
      </c>
      <c r="E2261" s="444"/>
      <c r="F2261" s="444"/>
      <c r="G2261" s="444"/>
      <c r="H2261" s="444"/>
      <c r="I2261" s="29"/>
      <c r="J2261" s="77"/>
      <c r="K2261" s="80">
        <f>SUM(I2261:J2261)</f>
        <v>0</v>
      </c>
      <c r="L2261" s="80"/>
    </row>
    <row r="2262" spans="1:12" s="82" customFormat="1" ht="13.5" customHeight="1" hidden="1">
      <c r="A2262" s="407"/>
      <c r="C2262" s="149"/>
      <c r="D2262" s="444" t="s">
        <v>281</v>
      </c>
      <c r="E2262" s="444"/>
      <c r="F2262" s="444"/>
      <c r="G2262" s="444"/>
      <c r="H2262" s="444"/>
      <c r="I2262" s="29"/>
      <c r="J2262" s="77"/>
      <c r="K2262" s="80">
        <f>SUM(I2262:J2262)</f>
        <v>0</v>
      </c>
      <c r="L2262" s="80"/>
    </row>
    <row r="2263" spans="1:12" s="82" customFormat="1" ht="7.5" customHeight="1" hidden="1">
      <c r="A2263" s="407"/>
      <c r="C2263" s="149"/>
      <c r="D2263" s="85"/>
      <c r="E2263" s="85"/>
      <c r="F2263" s="85"/>
      <c r="G2263" s="85"/>
      <c r="H2263" s="85"/>
      <c r="I2263" s="29"/>
      <c r="J2263" s="77"/>
      <c r="K2263" s="80"/>
      <c r="L2263" s="80"/>
    </row>
    <row r="2264" spans="1:12" s="95" customFormat="1" ht="13.5" customHeight="1" hidden="1">
      <c r="A2264" s="407"/>
      <c r="C2264" s="153" t="s">
        <v>109</v>
      </c>
      <c r="D2264" s="434" t="s">
        <v>213</v>
      </c>
      <c r="E2264" s="434"/>
      <c r="F2264" s="434"/>
      <c r="G2264" s="434"/>
      <c r="H2264" s="434"/>
      <c r="I2264" s="129"/>
      <c r="J2264" s="127"/>
      <c r="K2264" s="127"/>
      <c r="L2264" s="127"/>
    </row>
    <row r="2265" spans="1:12" s="82" customFormat="1" ht="13.5" customHeight="1" hidden="1">
      <c r="A2265" s="407"/>
      <c r="C2265" s="149"/>
      <c r="D2265" s="447" t="s">
        <v>37</v>
      </c>
      <c r="E2265" s="447"/>
      <c r="F2265" s="447"/>
      <c r="G2265" s="447"/>
      <c r="H2265" s="447"/>
      <c r="I2265" s="77">
        <f>SUM(I2266:I2268)</f>
        <v>0</v>
      </c>
      <c r="J2265" s="77">
        <f>SUM(J2266:J2268)</f>
        <v>0</v>
      </c>
      <c r="K2265" s="77">
        <f>SUM(K2266:K2268)</f>
        <v>0</v>
      </c>
      <c r="L2265" s="80"/>
    </row>
    <row r="2266" spans="1:12" s="82" customFormat="1" ht="13.5" customHeight="1" hidden="1">
      <c r="A2266" s="407"/>
      <c r="C2266" s="149"/>
      <c r="D2266" s="446" t="s">
        <v>5</v>
      </c>
      <c r="E2266" s="446"/>
      <c r="F2266" s="446"/>
      <c r="G2266" s="446"/>
      <c r="H2266" s="446"/>
      <c r="I2266" s="29"/>
      <c r="J2266" s="29"/>
      <c r="K2266" s="29">
        <f>SUM(I2266:J2266)</f>
        <v>0</v>
      </c>
      <c r="L2266" s="80"/>
    </row>
    <row r="2267" spans="1:12" s="82" customFormat="1" ht="13.5" customHeight="1" hidden="1">
      <c r="A2267" s="407"/>
      <c r="C2267" s="149"/>
      <c r="D2267" s="446" t="s">
        <v>6</v>
      </c>
      <c r="E2267" s="446"/>
      <c r="F2267" s="446"/>
      <c r="G2267" s="446"/>
      <c r="H2267" s="446"/>
      <c r="I2267" s="29"/>
      <c r="J2267" s="77"/>
      <c r="K2267" s="29">
        <f>SUM(I2267:J2267)</f>
        <v>0</v>
      </c>
      <c r="L2267" s="80"/>
    </row>
    <row r="2268" spans="1:12" s="82" customFormat="1" ht="13.5" customHeight="1" hidden="1">
      <c r="A2268" s="407"/>
      <c r="C2268" s="149"/>
      <c r="D2268" s="446" t="s">
        <v>7</v>
      </c>
      <c r="E2268" s="446"/>
      <c r="F2268" s="446"/>
      <c r="G2268" s="446"/>
      <c r="H2268" s="446"/>
      <c r="I2268" s="29"/>
      <c r="J2268" s="29"/>
      <c r="K2268" s="29">
        <f>SUM(I2268:J2268)</f>
        <v>0</v>
      </c>
      <c r="L2268" s="80"/>
    </row>
    <row r="2269" spans="1:12" s="82" customFormat="1" ht="13.5" customHeight="1" hidden="1">
      <c r="A2269" s="407"/>
      <c r="C2269" s="149"/>
      <c r="D2269" s="447" t="s">
        <v>38</v>
      </c>
      <c r="E2269" s="447"/>
      <c r="F2269" s="447"/>
      <c r="G2269" s="447"/>
      <c r="H2269" s="447"/>
      <c r="I2269" s="256">
        <f>SUM(I2270:I2275)</f>
        <v>0</v>
      </c>
      <c r="J2269" s="256">
        <f>SUM(J2270:J2275)</f>
        <v>0</v>
      </c>
      <c r="K2269" s="256">
        <f>SUM(K2270:K2275)</f>
        <v>0</v>
      </c>
      <c r="L2269" s="80"/>
    </row>
    <row r="2270" spans="1:12" s="82" customFormat="1" ht="13.5" customHeight="1" hidden="1">
      <c r="A2270" s="407"/>
      <c r="C2270" s="149"/>
      <c r="D2270" s="446" t="s">
        <v>289</v>
      </c>
      <c r="E2270" s="446"/>
      <c r="F2270" s="446"/>
      <c r="G2270" s="446"/>
      <c r="H2270" s="446"/>
      <c r="I2270" s="29"/>
      <c r="J2270" s="29"/>
      <c r="K2270" s="29">
        <f aca="true" t="shared" si="155" ref="K2270:K2275">SUM(I2270:J2270)</f>
        <v>0</v>
      </c>
      <c r="L2270" s="80"/>
    </row>
    <row r="2271" spans="1:12" s="82" customFormat="1" ht="13.5" customHeight="1" hidden="1">
      <c r="A2271" s="407"/>
      <c r="C2271" s="149"/>
      <c r="D2271" s="444" t="s">
        <v>8</v>
      </c>
      <c r="E2271" s="448"/>
      <c r="F2271" s="448"/>
      <c r="G2271" s="448"/>
      <c r="H2271" s="448"/>
      <c r="I2271" s="29"/>
      <c r="J2271" s="77"/>
      <c r="K2271" s="29">
        <f t="shared" si="155"/>
        <v>0</v>
      </c>
      <c r="L2271" s="80"/>
    </row>
    <row r="2272" spans="1:12" s="82" customFormat="1" ht="13.5" customHeight="1" hidden="1">
      <c r="A2272" s="407"/>
      <c r="C2272" s="149"/>
      <c r="D2272" s="444" t="s">
        <v>10</v>
      </c>
      <c r="E2272" s="444"/>
      <c r="F2272" s="444"/>
      <c r="G2272" s="444"/>
      <c r="H2272" s="444"/>
      <c r="I2272" s="29"/>
      <c r="J2272" s="77"/>
      <c r="K2272" s="29">
        <f t="shared" si="155"/>
        <v>0</v>
      </c>
      <c r="L2272" s="80"/>
    </row>
    <row r="2273" spans="1:12" s="82" customFormat="1" ht="13.5" customHeight="1" hidden="1">
      <c r="A2273" s="407"/>
      <c r="C2273" s="149"/>
      <c r="D2273" s="444" t="s">
        <v>9</v>
      </c>
      <c r="E2273" s="444"/>
      <c r="F2273" s="444"/>
      <c r="G2273" s="444"/>
      <c r="H2273" s="444"/>
      <c r="I2273" s="29"/>
      <c r="J2273" s="80"/>
      <c r="K2273" s="29">
        <f t="shared" si="155"/>
        <v>0</v>
      </c>
      <c r="L2273" s="80"/>
    </row>
    <row r="2274" spans="1:12" s="82" customFormat="1" ht="13.5" customHeight="1" hidden="1">
      <c r="A2274" s="407"/>
      <c r="C2274" s="149"/>
      <c r="D2274" s="444" t="s">
        <v>11</v>
      </c>
      <c r="E2274" s="444"/>
      <c r="F2274" s="444"/>
      <c r="G2274" s="444"/>
      <c r="H2274" s="444"/>
      <c r="I2274" s="29"/>
      <c r="J2274" s="80"/>
      <c r="K2274" s="29">
        <f t="shared" si="155"/>
        <v>0</v>
      </c>
      <c r="L2274" s="80"/>
    </row>
    <row r="2275" spans="1:12" s="82" customFormat="1" ht="13.5" customHeight="1" hidden="1">
      <c r="A2275" s="407"/>
      <c r="C2275" s="149"/>
      <c r="D2275" s="444" t="s">
        <v>12</v>
      </c>
      <c r="E2275" s="444"/>
      <c r="F2275" s="444"/>
      <c r="G2275" s="444"/>
      <c r="H2275" s="444"/>
      <c r="I2275" s="29"/>
      <c r="J2275" s="77"/>
      <c r="K2275" s="29">
        <f t="shared" si="155"/>
        <v>0</v>
      </c>
      <c r="L2275" s="80"/>
    </row>
    <row r="2276" spans="1:12" s="82" customFormat="1" ht="13.5" customHeight="1" hidden="1">
      <c r="A2276" s="407"/>
      <c r="C2276" s="149"/>
      <c r="D2276" s="445" t="s">
        <v>277</v>
      </c>
      <c r="E2276" s="445"/>
      <c r="F2276" s="445"/>
      <c r="G2276" s="445"/>
      <c r="H2276" s="445"/>
      <c r="I2276" s="77">
        <f>I2265-I2269</f>
        <v>0</v>
      </c>
      <c r="J2276" s="77">
        <f>J2265-J2269</f>
        <v>0</v>
      </c>
      <c r="K2276" s="77">
        <f>K2265-K2269</f>
        <v>0</v>
      </c>
      <c r="L2276" s="80"/>
    </row>
    <row r="2277" spans="1:12" s="82" customFormat="1" ht="13.5" customHeight="1" hidden="1">
      <c r="A2277" s="407"/>
      <c r="C2277" s="149"/>
      <c r="D2277" s="444" t="s">
        <v>279</v>
      </c>
      <c r="E2277" s="444"/>
      <c r="F2277" s="444"/>
      <c r="G2277" s="444"/>
      <c r="H2277" s="444"/>
      <c r="I2277" s="29">
        <f>I2278+I2279+I2280</f>
        <v>0</v>
      </c>
      <c r="J2277" s="29">
        <f>J2278+J2279+J2280</f>
        <v>0</v>
      </c>
      <c r="K2277" s="29">
        <f>K2278+K2279+K2280</f>
        <v>0</v>
      </c>
      <c r="L2277" s="80"/>
    </row>
    <row r="2278" spans="1:12" s="82" customFormat="1" ht="13.5" customHeight="1" hidden="1">
      <c r="A2278" s="407"/>
      <c r="C2278" s="149"/>
      <c r="D2278" s="444" t="s">
        <v>278</v>
      </c>
      <c r="E2278" s="444"/>
      <c r="F2278" s="444"/>
      <c r="G2278" s="444"/>
      <c r="H2278" s="444"/>
      <c r="I2278" s="29"/>
      <c r="J2278" s="77"/>
      <c r="K2278" s="80">
        <f>SUM(I2278:J2278)</f>
        <v>0</v>
      </c>
      <c r="L2278" s="80"/>
    </row>
    <row r="2279" spans="1:12" s="82" customFormat="1" ht="13.5" customHeight="1" hidden="1">
      <c r="A2279" s="407"/>
      <c r="C2279" s="149"/>
      <c r="D2279" s="444" t="s">
        <v>280</v>
      </c>
      <c r="E2279" s="444"/>
      <c r="F2279" s="444"/>
      <c r="G2279" s="444"/>
      <c r="H2279" s="444"/>
      <c r="I2279" s="29"/>
      <c r="J2279" s="77"/>
      <c r="K2279" s="80">
        <f>SUM(I2279:J2279)</f>
        <v>0</v>
      </c>
      <c r="L2279" s="80"/>
    </row>
    <row r="2280" spans="1:12" s="82" customFormat="1" ht="13.5" customHeight="1" hidden="1">
      <c r="A2280" s="407"/>
      <c r="C2280" s="149"/>
      <c r="D2280" s="444" t="s">
        <v>281</v>
      </c>
      <c r="E2280" s="444"/>
      <c r="F2280" s="444"/>
      <c r="G2280" s="444"/>
      <c r="H2280" s="444"/>
      <c r="I2280" s="29"/>
      <c r="J2280" s="77"/>
      <c r="K2280" s="80">
        <f>SUM(I2280:J2280)</f>
        <v>0</v>
      </c>
      <c r="L2280" s="80"/>
    </row>
    <row r="2281" spans="1:12" s="82" customFormat="1" ht="21.75" customHeight="1">
      <c r="A2281" s="407"/>
      <c r="C2281" s="149"/>
      <c r="D2281" s="85"/>
      <c r="E2281" s="85"/>
      <c r="F2281" s="85"/>
      <c r="G2281" s="85"/>
      <c r="H2281" s="85"/>
      <c r="I2281" s="29"/>
      <c r="J2281" s="77"/>
      <c r="K2281" s="80"/>
      <c r="L2281" s="80"/>
    </row>
    <row r="2282" spans="1:12" s="95" customFormat="1" ht="13.5" customHeight="1">
      <c r="A2282" s="407"/>
      <c r="C2282" s="153" t="s">
        <v>109</v>
      </c>
      <c r="D2282" s="449" t="s">
        <v>223</v>
      </c>
      <c r="E2282" s="449"/>
      <c r="F2282" s="449"/>
      <c r="G2282" s="449"/>
      <c r="H2282" s="449"/>
      <c r="I2282" s="129"/>
      <c r="J2282" s="127"/>
      <c r="K2282" s="127"/>
      <c r="L2282" s="127"/>
    </row>
    <row r="2283" spans="1:12" s="82" customFormat="1" ht="11.25" customHeight="1">
      <c r="A2283" s="407"/>
      <c r="C2283" s="149"/>
      <c r="D2283" s="447" t="s">
        <v>37</v>
      </c>
      <c r="E2283" s="447"/>
      <c r="F2283" s="447"/>
      <c r="G2283" s="447"/>
      <c r="H2283" s="447"/>
      <c r="I2283" s="77">
        <f>SUM(I2284:I2286)</f>
        <v>49826</v>
      </c>
      <c r="J2283" s="77">
        <f>SUM(J2284:J2286)</f>
        <v>27600</v>
      </c>
      <c r="K2283" s="77">
        <f>SUM(K2284:K2286)</f>
        <v>77426</v>
      </c>
      <c r="L2283" s="80"/>
    </row>
    <row r="2284" spans="1:12" s="82" customFormat="1" ht="11.25" customHeight="1">
      <c r="A2284" s="407"/>
      <c r="C2284" s="149"/>
      <c r="D2284" s="446" t="s">
        <v>415</v>
      </c>
      <c r="E2284" s="446"/>
      <c r="F2284" s="446"/>
      <c r="G2284" s="446"/>
      <c r="H2284" s="446"/>
      <c r="I2284" s="29"/>
      <c r="J2284" s="80">
        <f>1968</f>
        <v>1968</v>
      </c>
      <c r="K2284" s="80">
        <f>SUM(I2284:J2284)</f>
        <v>1968</v>
      </c>
      <c r="L2284" s="80"/>
    </row>
    <row r="2285" spans="1:12" s="82" customFormat="1" ht="11.25" customHeight="1">
      <c r="A2285" s="407"/>
      <c r="C2285" s="149"/>
      <c r="D2285" s="446" t="s">
        <v>590</v>
      </c>
      <c r="E2285" s="446"/>
      <c r="F2285" s="446"/>
      <c r="G2285" s="446"/>
      <c r="H2285" s="446"/>
      <c r="I2285" s="29">
        <f>1968</f>
        <v>1968</v>
      </c>
      <c r="J2285" s="80"/>
      <c r="K2285" s="80">
        <f>SUM(I2285:J2285)</f>
        <v>1968</v>
      </c>
      <c r="L2285" s="80"/>
    </row>
    <row r="2286" spans="1:12" s="82" customFormat="1" ht="11.25" customHeight="1">
      <c r="A2286" s="407"/>
      <c r="C2286" s="149"/>
      <c r="D2286" s="446" t="s">
        <v>7</v>
      </c>
      <c r="E2286" s="446"/>
      <c r="F2286" s="446"/>
      <c r="G2286" s="446"/>
      <c r="H2286" s="446"/>
      <c r="I2286" s="29">
        <f>13348+14014+20496</f>
        <v>47858</v>
      </c>
      <c r="J2286" s="80">
        <f>18000+7632</f>
        <v>25632</v>
      </c>
      <c r="K2286" s="80">
        <f>SUM(I2286:J2286)</f>
        <v>73490</v>
      </c>
      <c r="L2286" s="80"/>
    </row>
    <row r="2287" spans="1:12" s="82" customFormat="1" ht="12" customHeight="1">
      <c r="A2287" s="407"/>
      <c r="C2287" s="149"/>
      <c r="D2287" s="447" t="s">
        <v>38</v>
      </c>
      <c r="E2287" s="447"/>
      <c r="F2287" s="447"/>
      <c r="G2287" s="447"/>
      <c r="H2287" s="447"/>
      <c r="I2287" s="256">
        <f>SUM(I2288:I2293)</f>
        <v>65448</v>
      </c>
      <c r="J2287" s="256">
        <f>SUM(J2288:J2293)</f>
        <v>27600</v>
      </c>
      <c r="K2287" s="256">
        <f>SUM(K2288:K2293)</f>
        <v>93048</v>
      </c>
      <c r="L2287" s="80"/>
    </row>
    <row r="2288" spans="1:12" s="82" customFormat="1" ht="11.25" customHeight="1">
      <c r="A2288" s="407"/>
      <c r="C2288" s="149"/>
      <c r="D2288" s="446" t="s">
        <v>289</v>
      </c>
      <c r="E2288" s="446"/>
      <c r="F2288" s="446"/>
      <c r="G2288" s="446"/>
      <c r="H2288" s="446"/>
      <c r="I2288" s="29">
        <f>5758+5750+9629</f>
        <v>21137</v>
      </c>
      <c r="J2288" s="80">
        <f>8042+3425</f>
        <v>11467</v>
      </c>
      <c r="K2288" s="80">
        <f aca="true" t="shared" si="156" ref="K2288:K2293">SUM(I2288:J2288)</f>
        <v>32604</v>
      </c>
      <c r="L2288" s="80"/>
    </row>
    <row r="2289" spans="1:12" s="82" customFormat="1" ht="11.25" customHeight="1">
      <c r="A2289" s="407"/>
      <c r="C2289" s="149"/>
      <c r="D2289" s="444" t="s">
        <v>8</v>
      </c>
      <c r="E2289" s="448"/>
      <c r="F2289" s="448"/>
      <c r="G2289" s="448"/>
      <c r="H2289" s="448"/>
      <c r="I2289" s="29">
        <f>16912+5432+3063</f>
        <v>25407</v>
      </c>
      <c r="J2289" s="80">
        <f>1968+2108+1107</f>
        <v>5183</v>
      </c>
      <c r="K2289" s="80">
        <f t="shared" si="156"/>
        <v>30590</v>
      </c>
      <c r="L2289" s="80"/>
    </row>
    <row r="2290" spans="1:13" s="79" customFormat="1" ht="13.5" customHeight="1" hidden="1">
      <c r="A2290" s="407"/>
      <c r="C2290" s="151"/>
      <c r="D2290" s="444" t="s">
        <v>10</v>
      </c>
      <c r="E2290" s="444"/>
      <c r="F2290" s="444"/>
      <c r="G2290" s="444"/>
      <c r="H2290" s="444"/>
      <c r="I2290" s="29"/>
      <c r="J2290" s="77"/>
      <c r="K2290" s="80">
        <f t="shared" si="156"/>
        <v>0</v>
      </c>
      <c r="L2290" s="80"/>
      <c r="M2290" s="82"/>
    </row>
    <row r="2291" spans="1:12" s="82" customFormat="1" ht="13.5" customHeight="1" hidden="1">
      <c r="A2291" s="407"/>
      <c r="C2291" s="149"/>
      <c r="D2291" s="444" t="s">
        <v>9</v>
      </c>
      <c r="E2291" s="444"/>
      <c r="F2291" s="444"/>
      <c r="G2291" s="444"/>
      <c r="H2291" s="444"/>
      <c r="I2291" s="29"/>
      <c r="J2291" s="80"/>
      <c r="K2291" s="80">
        <f t="shared" si="156"/>
        <v>0</v>
      </c>
      <c r="L2291" s="80"/>
    </row>
    <row r="2292" spans="1:12" s="82" customFormat="1" ht="13.5" customHeight="1">
      <c r="A2292" s="407"/>
      <c r="C2292" s="149"/>
      <c r="D2292" s="444" t="s">
        <v>11</v>
      </c>
      <c r="E2292" s="444"/>
      <c r="F2292" s="444"/>
      <c r="G2292" s="444"/>
      <c r="H2292" s="444"/>
      <c r="I2292" s="29">
        <f>1500+1318</f>
        <v>2818</v>
      </c>
      <c r="J2292" s="80">
        <f>1850+700</f>
        <v>2550</v>
      </c>
      <c r="K2292" s="80">
        <f t="shared" si="156"/>
        <v>5368</v>
      </c>
      <c r="L2292" s="80"/>
    </row>
    <row r="2293" spans="1:12" s="82" customFormat="1" ht="12.75" customHeight="1">
      <c r="A2293" s="407"/>
      <c r="C2293" s="149"/>
      <c r="D2293" s="444" t="s">
        <v>12</v>
      </c>
      <c r="E2293" s="444"/>
      <c r="F2293" s="444"/>
      <c r="G2293" s="444"/>
      <c r="H2293" s="444"/>
      <c r="I2293" s="29">
        <f>4800+4800+6486</f>
        <v>16086</v>
      </c>
      <c r="J2293" s="80">
        <f>6000+2400</f>
        <v>8400</v>
      </c>
      <c r="K2293" s="80">
        <f t="shared" si="156"/>
        <v>24486</v>
      </c>
      <c r="L2293" s="80"/>
    </row>
    <row r="2294" spans="1:12" s="82" customFormat="1" ht="13.5" customHeight="1">
      <c r="A2294" s="407"/>
      <c r="C2294" s="149"/>
      <c r="D2294" s="445" t="s">
        <v>277</v>
      </c>
      <c r="E2294" s="445"/>
      <c r="F2294" s="445"/>
      <c r="G2294" s="445"/>
      <c r="H2294" s="445"/>
      <c r="I2294" s="77">
        <f>I2283-I2287</f>
        <v>-15622</v>
      </c>
      <c r="J2294" s="77">
        <f>J2283-J2287</f>
        <v>0</v>
      </c>
      <c r="K2294" s="77">
        <f>K2283-K2287</f>
        <v>-15622</v>
      </c>
      <c r="L2294" s="80"/>
    </row>
    <row r="2295" spans="1:12" s="82" customFormat="1" ht="13.5" customHeight="1">
      <c r="A2295" s="407"/>
      <c r="C2295" s="149"/>
      <c r="D2295" s="444" t="s">
        <v>279</v>
      </c>
      <c r="E2295" s="444"/>
      <c r="F2295" s="444"/>
      <c r="G2295" s="444"/>
      <c r="H2295" s="444"/>
      <c r="I2295" s="29">
        <f>I2296+I2297+I2298</f>
        <v>15622</v>
      </c>
      <c r="J2295" s="29">
        <f>J2296+J2297+J2298</f>
        <v>0</v>
      </c>
      <c r="K2295" s="29">
        <f>K2296+K2297+K2298</f>
        <v>15622</v>
      </c>
      <c r="L2295" s="80"/>
    </row>
    <row r="2296" spans="1:12" s="82" customFormat="1" ht="12" customHeight="1">
      <c r="A2296" s="407"/>
      <c r="C2296" s="149"/>
      <c r="D2296" s="444" t="s">
        <v>416</v>
      </c>
      <c r="E2296" s="444"/>
      <c r="F2296" s="444"/>
      <c r="G2296" s="444"/>
      <c r="H2296" s="444"/>
      <c r="I2296" s="29">
        <f>5546+602+5510+3964</f>
        <v>15622</v>
      </c>
      <c r="J2296" s="77"/>
      <c r="K2296" s="80">
        <f>SUM(I2296:J2296)</f>
        <v>15622</v>
      </c>
      <c r="L2296" s="80"/>
    </row>
    <row r="2297" spans="1:12" s="82" customFormat="1" ht="13.5" customHeight="1" hidden="1">
      <c r="A2297" s="407"/>
      <c r="C2297" s="149"/>
      <c r="D2297" s="444" t="s">
        <v>280</v>
      </c>
      <c r="E2297" s="444"/>
      <c r="F2297" s="444"/>
      <c r="G2297" s="444"/>
      <c r="H2297" s="444"/>
      <c r="I2297" s="29"/>
      <c r="J2297" s="77"/>
      <c r="K2297" s="80">
        <f>SUM(I2297:J2297)</f>
        <v>0</v>
      </c>
      <c r="L2297" s="80"/>
    </row>
    <row r="2298" spans="1:12" s="82" customFormat="1" ht="13.5" customHeight="1" hidden="1">
      <c r="A2298" s="407"/>
      <c r="C2298" s="149"/>
      <c r="D2298" s="444" t="s">
        <v>281</v>
      </c>
      <c r="E2298" s="444"/>
      <c r="F2298" s="444"/>
      <c r="G2298" s="444"/>
      <c r="H2298" s="444"/>
      <c r="I2298" s="29"/>
      <c r="J2298" s="77"/>
      <c r="K2298" s="80">
        <f>SUM(I2298:J2298)</f>
        <v>0</v>
      </c>
      <c r="L2298" s="80"/>
    </row>
    <row r="2299" spans="1:12" s="82" customFormat="1" ht="17.25" customHeight="1">
      <c r="A2299" s="407"/>
      <c r="C2299" s="149"/>
      <c r="D2299" s="85"/>
      <c r="E2299" s="85"/>
      <c r="F2299" s="85"/>
      <c r="G2299" s="85"/>
      <c r="H2299" s="85"/>
      <c r="I2299" s="29"/>
      <c r="J2299" s="80"/>
      <c r="K2299" s="80"/>
      <c r="L2299" s="80"/>
    </row>
    <row r="2300" spans="1:12" s="95" customFormat="1" ht="15" customHeight="1">
      <c r="A2300" s="407"/>
      <c r="C2300" s="153" t="s">
        <v>109</v>
      </c>
      <c r="D2300" s="449" t="s">
        <v>48</v>
      </c>
      <c r="E2300" s="449"/>
      <c r="F2300" s="449"/>
      <c r="G2300" s="449"/>
      <c r="H2300" s="449"/>
      <c r="I2300" s="129"/>
      <c r="J2300" s="127"/>
      <c r="K2300" s="127"/>
      <c r="L2300" s="127"/>
    </row>
    <row r="2301" spans="1:12" s="82" customFormat="1" ht="13.5" customHeight="1">
      <c r="A2301" s="407"/>
      <c r="C2301" s="149"/>
      <c r="D2301" s="447" t="s">
        <v>37</v>
      </c>
      <c r="E2301" s="447"/>
      <c r="F2301" s="447"/>
      <c r="G2301" s="447"/>
      <c r="H2301" s="447"/>
      <c r="I2301" s="77">
        <f>SUM(I2302:I2304)</f>
        <v>108091</v>
      </c>
      <c r="J2301" s="77">
        <f>SUM(J2302:J2304)</f>
        <v>-19748</v>
      </c>
      <c r="K2301" s="77">
        <f>SUM(K2302:K2304)</f>
        <v>88343</v>
      </c>
      <c r="L2301" s="80"/>
    </row>
    <row r="2302" spans="1:12" s="82" customFormat="1" ht="13.5" customHeight="1">
      <c r="A2302" s="407"/>
      <c r="C2302" s="149"/>
      <c r="D2302" s="446" t="s">
        <v>5</v>
      </c>
      <c r="E2302" s="446"/>
      <c r="F2302" s="446"/>
      <c r="G2302" s="446"/>
      <c r="H2302" s="446"/>
      <c r="I2302" s="29">
        <v>70439</v>
      </c>
      <c r="J2302" s="80"/>
      <c r="K2302" s="80">
        <f>SUM(I2302:J2302)</f>
        <v>70439</v>
      </c>
      <c r="L2302" s="80"/>
    </row>
    <row r="2303" spans="1:12" s="82" customFormat="1" ht="14.25" customHeight="1" hidden="1">
      <c r="A2303" s="407"/>
      <c r="C2303" s="149"/>
      <c r="D2303" s="446" t="s">
        <v>6</v>
      </c>
      <c r="E2303" s="446"/>
      <c r="F2303" s="446"/>
      <c r="G2303" s="446"/>
      <c r="H2303" s="446"/>
      <c r="I2303" s="29"/>
      <c r="J2303" s="80"/>
      <c r="K2303" s="80">
        <f>SUM(I2303:J2303)</f>
        <v>0</v>
      </c>
      <c r="L2303" s="80"/>
    </row>
    <row r="2304" spans="1:12" s="82" customFormat="1" ht="14.25" customHeight="1">
      <c r="A2304" s="407"/>
      <c r="C2304" s="149"/>
      <c r="D2304" s="446" t="s">
        <v>7</v>
      </c>
      <c r="E2304" s="446"/>
      <c r="F2304" s="446"/>
      <c r="G2304" s="446"/>
      <c r="H2304" s="446"/>
      <c r="I2304" s="29">
        <f>17904+19748</f>
        <v>37652</v>
      </c>
      <c r="J2304" s="80">
        <v>-19748</v>
      </c>
      <c r="K2304" s="80">
        <f>SUM(I2304:J2304)</f>
        <v>17904</v>
      </c>
      <c r="L2304" s="80"/>
    </row>
    <row r="2305" spans="1:12" s="82" customFormat="1" ht="14.25" customHeight="1">
      <c r="A2305" s="407"/>
      <c r="C2305" s="149"/>
      <c r="D2305" s="447" t="s">
        <v>38</v>
      </c>
      <c r="E2305" s="447"/>
      <c r="F2305" s="447"/>
      <c r="G2305" s="447"/>
      <c r="H2305" s="447"/>
      <c r="I2305" s="256">
        <f>SUM(I2306:I2311)</f>
        <v>108091</v>
      </c>
      <c r="J2305" s="256">
        <f>SUM(J2306:J2311)</f>
        <v>-19748</v>
      </c>
      <c r="K2305" s="256">
        <f>SUM(K2306:K2311)</f>
        <v>88343</v>
      </c>
      <c r="L2305" s="80"/>
    </row>
    <row r="2306" spans="1:12" s="82" customFormat="1" ht="13.5" customHeight="1" hidden="1">
      <c r="A2306" s="407"/>
      <c r="C2306" s="149"/>
      <c r="D2306" s="446" t="s">
        <v>289</v>
      </c>
      <c r="E2306" s="446"/>
      <c r="F2306" s="446"/>
      <c r="G2306" s="446"/>
      <c r="H2306" s="446"/>
      <c r="I2306" s="29"/>
      <c r="J2306" s="80"/>
      <c r="K2306" s="80">
        <f aca="true" t="shared" si="157" ref="K2306:K2311">SUM(I2306:J2306)</f>
        <v>0</v>
      </c>
      <c r="L2306" s="80"/>
    </row>
    <row r="2307" spans="1:12" s="82" customFormat="1" ht="13.5" customHeight="1" hidden="1">
      <c r="A2307" s="407"/>
      <c r="C2307" s="149"/>
      <c r="D2307" s="444" t="s">
        <v>8</v>
      </c>
      <c r="E2307" s="448"/>
      <c r="F2307" s="448"/>
      <c r="G2307" s="448"/>
      <c r="H2307" s="448"/>
      <c r="I2307" s="29"/>
      <c r="J2307" s="80"/>
      <c r="K2307" s="80">
        <f t="shared" si="157"/>
        <v>0</v>
      </c>
      <c r="L2307" s="80"/>
    </row>
    <row r="2308" spans="1:12" s="82" customFormat="1" ht="13.5" customHeight="1" hidden="1">
      <c r="A2308" s="407"/>
      <c r="C2308" s="149"/>
      <c r="D2308" s="444" t="s">
        <v>10</v>
      </c>
      <c r="E2308" s="444"/>
      <c r="F2308" s="444"/>
      <c r="G2308" s="444"/>
      <c r="H2308" s="444"/>
      <c r="I2308" s="29"/>
      <c r="J2308" s="80"/>
      <c r="K2308" s="80">
        <f t="shared" si="157"/>
        <v>0</v>
      </c>
      <c r="L2308" s="80"/>
    </row>
    <row r="2309" spans="1:12" s="82" customFormat="1" ht="13.5" customHeight="1" hidden="1">
      <c r="A2309" s="407"/>
      <c r="C2309" s="149"/>
      <c r="D2309" s="444" t="s">
        <v>9</v>
      </c>
      <c r="E2309" s="444"/>
      <c r="F2309" s="444"/>
      <c r="G2309" s="444"/>
      <c r="H2309" s="444"/>
      <c r="I2309" s="29"/>
      <c r="J2309" s="80"/>
      <c r="K2309" s="80">
        <f t="shared" si="157"/>
        <v>0</v>
      </c>
      <c r="L2309" s="80"/>
    </row>
    <row r="2310" spans="1:12" s="82" customFormat="1" ht="13.5" customHeight="1">
      <c r="A2310" s="407"/>
      <c r="C2310" s="149"/>
      <c r="D2310" s="444" t="s">
        <v>11</v>
      </c>
      <c r="E2310" s="444"/>
      <c r="F2310" s="444"/>
      <c r="G2310" s="444"/>
      <c r="H2310" s="444"/>
      <c r="I2310" s="29">
        <f>70439+17904+19748</f>
        <v>108091</v>
      </c>
      <c r="J2310" s="80">
        <f>-19748</f>
        <v>-19748</v>
      </c>
      <c r="K2310" s="80">
        <f t="shared" si="157"/>
        <v>88343</v>
      </c>
      <c r="L2310" s="80"/>
    </row>
    <row r="2311" spans="1:12" s="82" customFormat="1" ht="13.5" customHeight="1" hidden="1">
      <c r="A2311" s="407"/>
      <c r="C2311" s="149"/>
      <c r="D2311" s="444" t="s">
        <v>12</v>
      </c>
      <c r="E2311" s="444"/>
      <c r="F2311" s="444"/>
      <c r="G2311" s="444"/>
      <c r="H2311" s="444"/>
      <c r="I2311" s="29"/>
      <c r="J2311" s="80"/>
      <c r="K2311" s="80">
        <f t="shared" si="157"/>
        <v>0</v>
      </c>
      <c r="L2311" s="80"/>
    </row>
    <row r="2312" spans="1:12" s="82" customFormat="1" ht="13.5" customHeight="1">
      <c r="A2312" s="407"/>
      <c r="C2312" s="149"/>
      <c r="D2312" s="445" t="s">
        <v>277</v>
      </c>
      <c r="E2312" s="445"/>
      <c r="F2312" s="445"/>
      <c r="G2312" s="445"/>
      <c r="H2312" s="445"/>
      <c r="I2312" s="77">
        <f>I2301-I2305</f>
        <v>0</v>
      </c>
      <c r="J2312" s="77">
        <f>J2301-J2305</f>
        <v>0</v>
      </c>
      <c r="K2312" s="77">
        <f>K2301-K2305</f>
        <v>0</v>
      </c>
      <c r="L2312" s="80"/>
    </row>
    <row r="2313" spans="1:12" s="82" customFormat="1" ht="13.5" customHeight="1">
      <c r="A2313" s="407"/>
      <c r="C2313" s="149"/>
      <c r="D2313" s="444" t="s">
        <v>279</v>
      </c>
      <c r="E2313" s="444"/>
      <c r="F2313" s="444"/>
      <c r="G2313" s="444"/>
      <c r="H2313" s="444"/>
      <c r="I2313" s="29">
        <f>I2314+I2315+I2316</f>
        <v>0</v>
      </c>
      <c r="J2313" s="29">
        <f>J2314+J2315+J2316</f>
        <v>0</v>
      </c>
      <c r="K2313" s="29">
        <f>K2314+K2315+K2316</f>
        <v>0</v>
      </c>
      <c r="L2313" s="80"/>
    </row>
    <row r="2314" spans="1:12" s="82" customFormat="1" ht="13.5" customHeight="1" hidden="1">
      <c r="A2314" s="407"/>
      <c r="C2314" s="149"/>
      <c r="D2314" s="444" t="s">
        <v>278</v>
      </c>
      <c r="E2314" s="444"/>
      <c r="F2314" s="444"/>
      <c r="G2314" s="444"/>
      <c r="H2314" s="444"/>
      <c r="I2314" s="29"/>
      <c r="J2314" s="77"/>
      <c r="K2314" s="80">
        <f>SUM(I2314:J2314)</f>
        <v>0</v>
      </c>
      <c r="L2314" s="80"/>
    </row>
    <row r="2315" spans="1:12" s="82" customFormat="1" ht="13.5" customHeight="1" hidden="1">
      <c r="A2315" s="407"/>
      <c r="C2315" s="149"/>
      <c r="D2315" s="444" t="s">
        <v>280</v>
      </c>
      <c r="E2315" s="444"/>
      <c r="F2315" s="444"/>
      <c r="G2315" s="444"/>
      <c r="H2315" s="444"/>
      <c r="I2315" s="29"/>
      <c r="J2315" s="77"/>
      <c r="K2315" s="80">
        <f>SUM(I2315:J2315)</f>
        <v>0</v>
      </c>
      <c r="L2315" s="80"/>
    </row>
    <row r="2316" spans="1:12" s="82" customFormat="1" ht="13.5" customHeight="1" hidden="1">
      <c r="A2316" s="407"/>
      <c r="C2316" s="149"/>
      <c r="D2316" s="444" t="s">
        <v>281</v>
      </c>
      <c r="E2316" s="444"/>
      <c r="F2316" s="444"/>
      <c r="G2316" s="444"/>
      <c r="H2316" s="444"/>
      <c r="I2316" s="29"/>
      <c r="J2316" s="77"/>
      <c r="K2316" s="80">
        <f>SUM(I2316:J2316)</f>
        <v>0</v>
      </c>
      <c r="L2316" s="80"/>
    </row>
    <row r="2317" spans="1:12" s="82" customFormat="1" ht="9.75" customHeight="1">
      <c r="A2317" s="407"/>
      <c r="C2317" s="149"/>
      <c r="D2317" s="85"/>
      <c r="E2317" s="85"/>
      <c r="F2317" s="85"/>
      <c r="G2317" s="85"/>
      <c r="H2317" s="85"/>
      <c r="I2317" s="29"/>
      <c r="J2317" s="80"/>
      <c r="K2317" s="80"/>
      <c r="L2317" s="80"/>
    </row>
    <row r="2318" spans="1:12" s="95" customFormat="1" ht="11.25" customHeight="1">
      <c r="A2318" s="407"/>
      <c r="C2318" s="153" t="s">
        <v>109</v>
      </c>
      <c r="D2318" s="434" t="s">
        <v>414</v>
      </c>
      <c r="E2318" s="434"/>
      <c r="F2318" s="434"/>
      <c r="G2318" s="434"/>
      <c r="H2318" s="434"/>
      <c r="I2318" s="129"/>
      <c r="J2318" s="127"/>
      <c r="K2318" s="127"/>
      <c r="L2318" s="127"/>
    </row>
    <row r="2319" spans="1:12" s="82" customFormat="1" ht="12" customHeight="1">
      <c r="A2319" s="407"/>
      <c r="C2319" s="149"/>
      <c r="D2319" s="447" t="s">
        <v>37</v>
      </c>
      <c r="E2319" s="447"/>
      <c r="F2319" s="447"/>
      <c r="G2319" s="447"/>
      <c r="H2319" s="447"/>
      <c r="I2319" s="77">
        <f>SUM(I2320:I2322)</f>
        <v>20640</v>
      </c>
      <c r="J2319" s="77">
        <f>SUM(J2320:J2322)</f>
        <v>0</v>
      </c>
      <c r="K2319" s="77">
        <f>SUM(K2320:K2322)</f>
        <v>20640</v>
      </c>
      <c r="L2319" s="80"/>
    </row>
    <row r="2320" spans="1:12" s="82" customFormat="1" ht="13.5" customHeight="1">
      <c r="A2320" s="407"/>
      <c r="C2320" s="149"/>
      <c r="D2320" s="446" t="s">
        <v>5</v>
      </c>
      <c r="E2320" s="446"/>
      <c r="F2320" s="446"/>
      <c r="G2320" s="446"/>
      <c r="H2320" s="446"/>
      <c r="I2320" s="29">
        <v>4700</v>
      </c>
      <c r="J2320" s="80"/>
      <c r="K2320" s="80">
        <f>SUM(I2320:J2320)</f>
        <v>4700</v>
      </c>
      <c r="L2320" s="80"/>
    </row>
    <row r="2321" spans="1:12" s="82" customFormat="1" ht="13.5" customHeight="1">
      <c r="A2321" s="407"/>
      <c r="C2321" s="149"/>
      <c r="D2321" s="446" t="s">
        <v>6</v>
      </c>
      <c r="E2321" s="446"/>
      <c r="F2321" s="446"/>
      <c r="G2321" s="446"/>
      <c r="H2321" s="446"/>
      <c r="I2321" s="29">
        <v>15940</v>
      </c>
      <c r="J2321" s="80"/>
      <c r="K2321" s="80">
        <f>SUM(I2321:J2321)</f>
        <v>15940</v>
      </c>
      <c r="L2321" s="80"/>
    </row>
    <row r="2322" spans="1:12" s="82" customFormat="1" ht="13.5" customHeight="1" hidden="1">
      <c r="A2322" s="407"/>
      <c r="C2322" s="149"/>
      <c r="D2322" s="446" t="s">
        <v>7</v>
      </c>
      <c r="E2322" s="446"/>
      <c r="F2322" s="446"/>
      <c r="G2322" s="446"/>
      <c r="H2322" s="446"/>
      <c r="I2322" s="29"/>
      <c r="J2322" s="80"/>
      <c r="K2322" s="80">
        <f>SUM(I2322:J2322)</f>
        <v>0</v>
      </c>
      <c r="L2322" s="80"/>
    </row>
    <row r="2323" spans="1:12" s="82" customFormat="1" ht="13.5" customHeight="1">
      <c r="A2323" s="407"/>
      <c r="C2323" s="149"/>
      <c r="D2323" s="447" t="s">
        <v>38</v>
      </c>
      <c r="E2323" s="447"/>
      <c r="F2323" s="447"/>
      <c r="G2323" s="447"/>
      <c r="H2323" s="447"/>
      <c r="I2323" s="256">
        <f>SUM(I2324:I2329)</f>
        <v>24046</v>
      </c>
      <c r="J2323" s="256">
        <f>SUM(J2324:J2329)</f>
        <v>0</v>
      </c>
      <c r="K2323" s="256">
        <f>SUM(K2324:K2329)</f>
        <v>24046</v>
      </c>
      <c r="L2323" s="80"/>
    </row>
    <row r="2324" spans="1:12" s="82" customFormat="1" ht="13.5" customHeight="1">
      <c r="A2324" s="407"/>
      <c r="C2324" s="149"/>
      <c r="D2324" s="446" t="s">
        <v>289</v>
      </c>
      <c r="E2324" s="446"/>
      <c r="F2324" s="446"/>
      <c r="G2324" s="446"/>
      <c r="H2324" s="446"/>
      <c r="I2324" s="29">
        <v>1490</v>
      </c>
      <c r="J2324" s="80"/>
      <c r="K2324" s="80">
        <f aca="true" t="shared" si="158" ref="K2324:K2329">SUM(I2324:J2324)</f>
        <v>1490</v>
      </c>
      <c r="L2324" s="80"/>
    </row>
    <row r="2325" spans="1:12" s="82" customFormat="1" ht="12.75" customHeight="1">
      <c r="A2325" s="407"/>
      <c r="C2325" s="149"/>
      <c r="D2325" s="444" t="s">
        <v>8</v>
      </c>
      <c r="E2325" s="448"/>
      <c r="F2325" s="448"/>
      <c r="G2325" s="448"/>
      <c r="H2325" s="448"/>
      <c r="I2325" s="29">
        <v>13830</v>
      </c>
      <c r="J2325" s="80"/>
      <c r="K2325" s="80">
        <f t="shared" si="158"/>
        <v>13830</v>
      </c>
      <c r="L2325" s="80"/>
    </row>
    <row r="2326" spans="1:12" s="82" customFormat="1" ht="13.5" customHeight="1" hidden="1">
      <c r="A2326" s="407"/>
      <c r="C2326" s="149"/>
      <c r="D2326" s="444" t="s">
        <v>10</v>
      </c>
      <c r="E2326" s="444"/>
      <c r="F2326" s="444"/>
      <c r="G2326" s="444"/>
      <c r="H2326" s="444"/>
      <c r="I2326" s="29"/>
      <c r="J2326" s="80"/>
      <c r="K2326" s="80">
        <f t="shared" si="158"/>
        <v>0</v>
      </c>
      <c r="L2326" s="80"/>
    </row>
    <row r="2327" spans="1:12" s="82" customFormat="1" ht="13.5" customHeight="1" hidden="1">
      <c r="A2327" s="407"/>
      <c r="C2327" s="149"/>
      <c r="D2327" s="444" t="s">
        <v>9</v>
      </c>
      <c r="E2327" s="444"/>
      <c r="F2327" s="444"/>
      <c r="G2327" s="444"/>
      <c r="H2327" s="444"/>
      <c r="I2327" s="29"/>
      <c r="J2327" s="80"/>
      <c r="K2327" s="80">
        <f t="shared" si="158"/>
        <v>0</v>
      </c>
      <c r="L2327" s="80"/>
    </row>
    <row r="2328" spans="1:13" s="79" customFormat="1" ht="11.25" customHeight="1">
      <c r="A2328" s="407"/>
      <c r="C2328" s="151"/>
      <c r="D2328" s="444" t="s">
        <v>11</v>
      </c>
      <c r="E2328" s="444"/>
      <c r="F2328" s="444"/>
      <c r="G2328" s="444"/>
      <c r="H2328" s="444"/>
      <c r="I2328" s="29">
        <f>4700+4026</f>
        <v>8726</v>
      </c>
      <c r="J2328" s="29"/>
      <c r="K2328" s="80">
        <f t="shared" si="158"/>
        <v>8726</v>
      </c>
      <c r="L2328" s="80"/>
      <c r="M2328" s="82"/>
    </row>
    <row r="2329" spans="1:13" s="79" customFormat="1" ht="13.5" customHeight="1" hidden="1">
      <c r="A2329" s="407"/>
      <c r="C2329" s="151"/>
      <c r="D2329" s="444" t="s">
        <v>12</v>
      </c>
      <c r="E2329" s="444"/>
      <c r="F2329" s="444"/>
      <c r="G2329" s="444"/>
      <c r="H2329" s="444"/>
      <c r="I2329" s="29"/>
      <c r="J2329" s="80"/>
      <c r="K2329" s="80">
        <f t="shared" si="158"/>
        <v>0</v>
      </c>
      <c r="L2329" s="80"/>
      <c r="M2329" s="82"/>
    </row>
    <row r="2330" spans="1:13" s="79" customFormat="1" ht="13.5" customHeight="1">
      <c r="A2330" s="407"/>
      <c r="C2330" s="151"/>
      <c r="D2330" s="445" t="s">
        <v>277</v>
      </c>
      <c r="E2330" s="445"/>
      <c r="F2330" s="445"/>
      <c r="G2330" s="445"/>
      <c r="H2330" s="445"/>
      <c r="I2330" s="77">
        <f>I2319-I2323</f>
        <v>-3406</v>
      </c>
      <c r="J2330" s="77">
        <f>J2319-J2323</f>
        <v>0</v>
      </c>
      <c r="K2330" s="77">
        <f>K2319-K2323</f>
        <v>-3406</v>
      </c>
      <c r="L2330" s="80"/>
      <c r="M2330" s="82"/>
    </row>
    <row r="2331" spans="1:13" s="79" customFormat="1" ht="13.5" customHeight="1">
      <c r="A2331" s="407"/>
      <c r="C2331" s="151"/>
      <c r="D2331" s="444" t="s">
        <v>279</v>
      </c>
      <c r="E2331" s="444"/>
      <c r="F2331" s="444"/>
      <c r="G2331" s="444"/>
      <c r="H2331" s="444"/>
      <c r="I2331" s="29">
        <f>I2332+I2333+I2334</f>
        <v>3406</v>
      </c>
      <c r="J2331" s="29">
        <f>J2332+J2333+J2334</f>
        <v>0</v>
      </c>
      <c r="K2331" s="29">
        <f>K2332+K2333+K2334</f>
        <v>3406</v>
      </c>
      <c r="L2331" s="80"/>
      <c r="M2331" s="82"/>
    </row>
    <row r="2332" spans="1:13" s="79" customFormat="1" ht="13.5" customHeight="1">
      <c r="A2332" s="407"/>
      <c r="C2332" s="151"/>
      <c r="D2332" s="444" t="s">
        <v>278</v>
      </c>
      <c r="E2332" s="444"/>
      <c r="F2332" s="444"/>
      <c r="G2332" s="444"/>
      <c r="H2332" s="444"/>
      <c r="I2332" s="29">
        <v>3406</v>
      </c>
      <c r="J2332" s="77"/>
      <c r="K2332" s="80">
        <f>SUM(I2332:J2332)</f>
        <v>3406</v>
      </c>
      <c r="L2332" s="80"/>
      <c r="M2332" s="82"/>
    </row>
    <row r="2333" spans="1:13" s="79" customFormat="1" ht="13.5" customHeight="1" hidden="1">
      <c r="A2333" s="407"/>
      <c r="C2333" s="151"/>
      <c r="D2333" s="444" t="s">
        <v>280</v>
      </c>
      <c r="E2333" s="444"/>
      <c r="F2333" s="444"/>
      <c r="G2333" s="444"/>
      <c r="H2333" s="444"/>
      <c r="I2333" s="29"/>
      <c r="J2333" s="77"/>
      <c r="K2333" s="80">
        <f>SUM(I2333:J2333)</f>
        <v>0</v>
      </c>
      <c r="L2333" s="80"/>
      <c r="M2333" s="82"/>
    </row>
    <row r="2334" spans="1:13" s="79" customFormat="1" ht="13.5" customHeight="1" hidden="1">
      <c r="A2334" s="407"/>
      <c r="C2334" s="151"/>
      <c r="D2334" s="444" t="s">
        <v>281</v>
      </c>
      <c r="E2334" s="444"/>
      <c r="F2334" s="444"/>
      <c r="G2334" s="444"/>
      <c r="H2334" s="444"/>
      <c r="I2334" s="29"/>
      <c r="J2334" s="77"/>
      <c r="K2334" s="80">
        <f>SUM(I2334:J2334)</f>
        <v>0</v>
      </c>
      <c r="L2334" s="80"/>
      <c r="M2334" s="82"/>
    </row>
    <row r="2335" spans="1:12" s="82" customFormat="1" ht="6" customHeight="1">
      <c r="A2335" s="407"/>
      <c r="C2335" s="149"/>
      <c r="D2335" s="81"/>
      <c r="E2335" s="81"/>
      <c r="F2335" s="81"/>
      <c r="G2335" s="81"/>
      <c r="H2335" s="81"/>
      <c r="I2335" s="29"/>
      <c r="J2335" s="80"/>
      <c r="K2335" s="80"/>
      <c r="L2335" s="80"/>
    </row>
    <row r="2336" spans="1:12" s="95" customFormat="1" ht="12" customHeight="1">
      <c r="A2336" s="407"/>
      <c r="C2336" s="153" t="s">
        <v>109</v>
      </c>
      <c r="D2336" s="434" t="s">
        <v>414</v>
      </c>
      <c r="E2336" s="434"/>
      <c r="F2336" s="434"/>
      <c r="G2336" s="434"/>
      <c r="H2336" s="434"/>
      <c r="I2336" s="129"/>
      <c r="J2336" s="127"/>
      <c r="K2336" s="127"/>
      <c r="L2336" s="127"/>
    </row>
    <row r="2337" spans="1:12" s="82" customFormat="1" ht="13.5" customHeight="1">
      <c r="A2337" s="407"/>
      <c r="C2337" s="149"/>
      <c r="D2337" s="447" t="s">
        <v>37</v>
      </c>
      <c r="E2337" s="447"/>
      <c r="F2337" s="447"/>
      <c r="G2337" s="447"/>
      <c r="H2337" s="447"/>
      <c r="I2337" s="77">
        <f>SUM(I2338:I2340)</f>
        <v>696484</v>
      </c>
      <c r="J2337" s="77">
        <f>SUM(J2338:J2340)</f>
        <v>64636</v>
      </c>
      <c r="K2337" s="77">
        <f>SUM(K2338:K2340)</f>
        <v>761120</v>
      </c>
      <c r="L2337" s="80"/>
    </row>
    <row r="2338" spans="1:12" s="82" customFormat="1" ht="13.5" customHeight="1" hidden="1">
      <c r="A2338" s="407"/>
      <c r="C2338" s="149"/>
      <c r="D2338" s="446" t="s">
        <v>5</v>
      </c>
      <c r="E2338" s="446"/>
      <c r="F2338" s="446"/>
      <c r="G2338" s="446"/>
      <c r="H2338" s="446"/>
      <c r="I2338" s="29"/>
      <c r="J2338" s="80"/>
      <c r="K2338" s="80">
        <f>SUM(I2338:J2338)</f>
        <v>0</v>
      </c>
      <c r="L2338" s="80"/>
    </row>
    <row r="2339" spans="1:12" s="82" customFormat="1" ht="13.5" customHeight="1" hidden="1">
      <c r="A2339" s="407"/>
      <c r="C2339" s="149"/>
      <c r="D2339" s="446" t="s">
        <v>6</v>
      </c>
      <c r="E2339" s="446"/>
      <c r="F2339" s="446"/>
      <c r="G2339" s="446"/>
      <c r="H2339" s="446"/>
      <c r="I2339" s="29"/>
      <c r="J2339" s="80"/>
      <c r="K2339" s="80">
        <f>SUM(I2339:J2339)</f>
        <v>0</v>
      </c>
      <c r="L2339" s="80"/>
    </row>
    <row r="2340" spans="1:12" s="82" customFormat="1" ht="13.5" customHeight="1">
      <c r="A2340" s="407"/>
      <c r="C2340" s="149"/>
      <c r="D2340" s="446" t="s">
        <v>7</v>
      </c>
      <c r="E2340" s="446"/>
      <c r="F2340" s="446"/>
      <c r="G2340" s="446"/>
      <c r="H2340" s="446"/>
      <c r="I2340" s="29">
        <f>565384+131100</f>
        <v>696484</v>
      </c>
      <c r="J2340" s="80">
        <v>64636</v>
      </c>
      <c r="K2340" s="80">
        <f>SUM(I2340:J2340)</f>
        <v>761120</v>
      </c>
      <c r="L2340" s="80"/>
    </row>
    <row r="2341" spans="1:12" s="82" customFormat="1" ht="11.25" customHeight="1">
      <c r="A2341" s="407"/>
      <c r="C2341" s="149"/>
      <c r="D2341" s="447" t="s">
        <v>38</v>
      </c>
      <c r="E2341" s="447"/>
      <c r="F2341" s="447"/>
      <c r="G2341" s="447"/>
      <c r="H2341" s="447"/>
      <c r="I2341" s="256">
        <f>SUM(I2342:I2347)</f>
        <v>696484</v>
      </c>
      <c r="J2341" s="256">
        <f>SUM(J2342:J2347)</f>
        <v>64636</v>
      </c>
      <c r="K2341" s="256">
        <f>SUM(K2342:K2347)</f>
        <v>761120</v>
      </c>
      <c r="L2341" s="80"/>
    </row>
    <row r="2342" spans="1:12" s="82" customFormat="1" ht="11.25" customHeight="1">
      <c r="A2342" s="407"/>
      <c r="C2342" s="149"/>
      <c r="D2342" s="446" t="s">
        <v>289</v>
      </c>
      <c r="E2342" s="446"/>
      <c r="F2342" s="446"/>
      <c r="G2342" s="446"/>
      <c r="H2342" s="446"/>
      <c r="I2342" s="29">
        <f>320039+75692+98933</f>
        <v>494664</v>
      </c>
      <c r="J2342" s="80">
        <v>41219</v>
      </c>
      <c r="K2342" s="80">
        <f aca="true" t="shared" si="159" ref="K2342:K2347">SUM(I2342:J2342)</f>
        <v>535883</v>
      </c>
      <c r="L2342" s="80"/>
    </row>
    <row r="2343" spans="1:12" s="82" customFormat="1" ht="12" customHeight="1">
      <c r="A2343" s="407"/>
      <c r="C2343" s="149"/>
      <c r="D2343" s="444" t="s">
        <v>8</v>
      </c>
      <c r="E2343" s="448"/>
      <c r="F2343" s="448"/>
      <c r="G2343" s="448"/>
      <c r="H2343" s="448"/>
      <c r="I2343" s="29">
        <f>62685+58528+30303</f>
        <v>151516</v>
      </c>
      <c r="J2343" s="80">
        <v>8781</v>
      </c>
      <c r="K2343" s="80">
        <f t="shared" si="159"/>
        <v>160297</v>
      </c>
      <c r="L2343" s="80"/>
    </row>
    <row r="2344" spans="1:12" s="82" customFormat="1" ht="13.5" customHeight="1" hidden="1">
      <c r="A2344" s="407"/>
      <c r="C2344" s="149"/>
      <c r="D2344" s="444" t="s">
        <v>10</v>
      </c>
      <c r="E2344" s="444"/>
      <c r="F2344" s="444"/>
      <c r="G2344" s="444"/>
      <c r="H2344" s="444"/>
      <c r="I2344" s="29"/>
      <c r="J2344" s="80"/>
      <c r="K2344" s="80">
        <f t="shared" si="159"/>
        <v>0</v>
      </c>
      <c r="L2344" s="80"/>
    </row>
    <row r="2345" spans="1:12" s="82" customFormat="1" ht="13.5" customHeight="1" hidden="1">
      <c r="A2345" s="407"/>
      <c r="C2345" s="149"/>
      <c r="D2345" s="444" t="s">
        <v>9</v>
      </c>
      <c r="E2345" s="444"/>
      <c r="F2345" s="444"/>
      <c r="G2345" s="444"/>
      <c r="H2345" s="444"/>
      <c r="I2345" s="29"/>
      <c r="J2345" s="80"/>
      <c r="K2345" s="80">
        <f t="shared" si="159"/>
        <v>0</v>
      </c>
      <c r="L2345" s="80"/>
    </row>
    <row r="2346" spans="1:12" s="82" customFormat="1" ht="13.5" customHeight="1">
      <c r="A2346" s="407"/>
      <c r="C2346" s="151"/>
      <c r="D2346" s="444" t="s">
        <v>11</v>
      </c>
      <c r="E2346" s="444"/>
      <c r="F2346" s="444"/>
      <c r="G2346" s="444"/>
      <c r="H2346" s="444"/>
      <c r="I2346" s="29">
        <v>40985</v>
      </c>
      <c r="J2346" s="29">
        <v>12500</v>
      </c>
      <c r="K2346" s="80">
        <f t="shared" si="159"/>
        <v>53485</v>
      </c>
      <c r="L2346" s="80"/>
    </row>
    <row r="2347" spans="1:12" s="82" customFormat="1" ht="12.75" customHeight="1">
      <c r="A2347" s="407"/>
      <c r="C2347" s="149"/>
      <c r="D2347" s="444" t="s">
        <v>12</v>
      </c>
      <c r="E2347" s="444"/>
      <c r="F2347" s="444"/>
      <c r="G2347" s="444"/>
      <c r="H2347" s="444"/>
      <c r="I2347" s="29">
        <f>7455+1864</f>
        <v>9319</v>
      </c>
      <c r="J2347" s="80">
        <v>2136</v>
      </c>
      <c r="K2347" s="80">
        <f t="shared" si="159"/>
        <v>11455</v>
      </c>
      <c r="L2347" s="80"/>
    </row>
    <row r="2348" spans="1:12" s="82" customFormat="1" ht="12.75" customHeight="1">
      <c r="A2348" s="407"/>
      <c r="C2348" s="149"/>
      <c r="D2348" s="445" t="s">
        <v>277</v>
      </c>
      <c r="E2348" s="445"/>
      <c r="F2348" s="445"/>
      <c r="G2348" s="445"/>
      <c r="H2348" s="445"/>
      <c r="I2348" s="77">
        <f>I2337-I2341</f>
        <v>0</v>
      </c>
      <c r="J2348" s="77">
        <f>J2337-J2341</f>
        <v>0</v>
      </c>
      <c r="K2348" s="77">
        <f>K2337-K2341</f>
        <v>0</v>
      </c>
      <c r="L2348" s="80"/>
    </row>
    <row r="2349" spans="1:12" s="82" customFormat="1" ht="12" customHeight="1">
      <c r="A2349" s="407"/>
      <c r="C2349" s="149"/>
      <c r="D2349" s="444" t="s">
        <v>279</v>
      </c>
      <c r="E2349" s="444"/>
      <c r="F2349" s="444"/>
      <c r="G2349" s="444"/>
      <c r="H2349" s="444"/>
      <c r="I2349" s="29">
        <f>I2350+I2351+I2352</f>
        <v>0</v>
      </c>
      <c r="J2349" s="29">
        <f>J2350+J2351+J2352</f>
        <v>0</v>
      </c>
      <c r="K2349" s="29">
        <f>K2350+K2351+K2352</f>
        <v>0</v>
      </c>
      <c r="L2349" s="80"/>
    </row>
    <row r="2350" spans="1:12" s="82" customFormat="1" ht="13.5" customHeight="1" hidden="1">
      <c r="A2350" s="407"/>
      <c r="C2350" s="149"/>
      <c r="D2350" s="444" t="s">
        <v>278</v>
      </c>
      <c r="E2350" s="444"/>
      <c r="F2350" s="444"/>
      <c r="G2350" s="444"/>
      <c r="H2350" s="444"/>
      <c r="I2350" s="29"/>
      <c r="J2350" s="77"/>
      <c r="K2350" s="80">
        <f>SUM(I2350:J2350)</f>
        <v>0</v>
      </c>
      <c r="L2350" s="80"/>
    </row>
    <row r="2351" spans="1:12" s="82" customFormat="1" ht="13.5" customHeight="1" hidden="1">
      <c r="A2351" s="407"/>
      <c r="C2351" s="149"/>
      <c r="D2351" s="444" t="s">
        <v>280</v>
      </c>
      <c r="E2351" s="444"/>
      <c r="F2351" s="444"/>
      <c r="G2351" s="444"/>
      <c r="H2351" s="444"/>
      <c r="I2351" s="29"/>
      <c r="J2351" s="77"/>
      <c r="K2351" s="80">
        <f>SUM(I2351:J2351)</f>
        <v>0</v>
      </c>
      <c r="L2351" s="80"/>
    </row>
    <row r="2352" spans="1:12" s="82" customFormat="1" ht="13.5" customHeight="1" hidden="1">
      <c r="A2352" s="407"/>
      <c r="C2352" s="149"/>
      <c r="D2352" s="444" t="s">
        <v>281</v>
      </c>
      <c r="E2352" s="444"/>
      <c r="F2352" s="444"/>
      <c r="G2352" s="444"/>
      <c r="H2352" s="444"/>
      <c r="I2352" s="29"/>
      <c r="J2352" s="77"/>
      <c r="K2352" s="80">
        <f>SUM(I2352:J2352)</f>
        <v>0</v>
      </c>
      <c r="L2352" s="80"/>
    </row>
    <row r="2353" spans="1:12" s="82" customFormat="1" ht="8.25" customHeight="1" hidden="1">
      <c r="A2353" s="407"/>
      <c r="C2353" s="149"/>
      <c r="D2353" s="81"/>
      <c r="E2353" s="81"/>
      <c r="F2353" s="81"/>
      <c r="G2353" s="81"/>
      <c r="H2353" s="81"/>
      <c r="I2353" s="29"/>
      <c r="J2353" s="80"/>
      <c r="K2353" s="29"/>
      <c r="L2353" s="80"/>
    </row>
    <row r="2354" spans="1:12" s="95" customFormat="1" ht="13.5" customHeight="1" hidden="1">
      <c r="A2354" s="407"/>
      <c r="C2354" s="153" t="s">
        <v>109</v>
      </c>
      <c r="D2354" s="449" t="s">
        <v>295</v>
      </c>
      <c r="E2354" s="449"/>
      <c r="F2354" s="449"/>
      <c r="G2354" s="449"/>
      <c r="H2354" s="449"/>
      <c r="I2354" s="129"/>
      <c r="J2354" s="127"/>
      <c r="K2354" s="129"/>
      <c r="L2354" s="127"/>
    </row>
    <row r="2355" spans="1:12" s="82" customFormat="1" ht="13.5" customHeight="1" hidden="1">
      <c r="A2355" s="407"/>
      <c r="C2355" s="149"/>
      <c r="D2355" s="447" t="s">
        <v>37</v>
      </c>
      <c r="E2355" s="447"/>
      <c r="F2355" s="447"/>
      <c r="G2355" s="447"/>
      <c r="H2355" s="447"/>
      <c r="I2355" s="77">
        <f>SUM(I2356:I2358)</f>
        <v>0</v>
      </c>
      <c r="J2355" s="77">
        <f>SUM(J2356:J2358)</f>
        <v>0</v>
      </c>
      <c r="K2355" s="77">
        <f>SUM(K2356:K2358)</f>
        <v>0</v>
      </c>
      <c r="L2355" s="80"/>
    </row>
    <row r="2356" spans="1:12" s="82" customFormat="1" ht="13.5" customHeight="1" hidden="1">
      <c r="A2356" s="407"/>
      <c r="C2356" s="149"/>
      <c r="D2356" s="446" t="s">
        <v>5</v>
      </c>
      <c r="E2356" s="446"/>
      <c r="F2356" s="446"/>
      <c r="G2356" s="446"/>
      <c r="H2356" s="446"/>
      <c r="I2356" s="29"/>
      <c r="J2356" s="80"/>
      <c r="K2356" s="29">
        <f>SUM(I2356:J2356)</f>
        <v>0</v>
      </c>
      <c r="L2356" s="80"/>
    </row>
    <row r="2357" spans="1:12" s="82" customFormat="1" ht="13.5" customHeight="1" hidden="1">
      <c r="A2357" s="407"/>
      <c r="C2357" s="149"/>
      <c r="D2357" s="446" t="s">
        <v>6</v>
      </c>
      <c r="E2357" s="446"/>
      <c r="F2357" s="446"/>
      <c r="G2357" s="446"/>
      <c r="H2357" s="446"/>
      <c r="I2357" s="29"/>
      <c r="J2357" s="80"/>
      <c r="K2357" s="29">
        <f>SUM(I2357:J2357)</f>
        <v>0</v>
      </c>
      <c r="L2357" s="80"/>
    </row>
    <row r="2358" spans="1:12" s="82" customFormat="1" ht="13.5" customHeight="1" hidden="1">
      <c r="A2358" s="407"/>
      <c r="C2358" s="149"/>
      <c r="D2358" s="446" t="s">
        <v>7</v>
      </c>
      <c r="E2358" s="446"/>
      <c r="F2358" s="446"/>
      <c r="G2358" s="446"/>
      <c r="H2358" s="446"/>
      <c r="I2358" s="29"/>
      <c r="J2358" s="80"/>
      <c r="K2358" s="29">
        <f>SUM(I2358:J2358)</f>
        <v>0</v>
      </c>
      <c r="L2358" s="80"/>
    </row>
    <row r="2359" spans="1:12" s="82" customFormat="1" ht="13.5" customHeight="1" hidden="1">
      <c r="A2359" s="407"/>
      <c r="C2359" s="149"/>
      <c r="D2359" s="447" t="s">
        <v>38</v>
      </c>
      <c r="E2359" s="447"/>
      <c r="F2359" s="447"/>
      <c r="G2359" s="447"/>
      <c r="H2359" s="447"/>
      <c r="I2359" s="256">
        <f>SUM(I2360:I2365)</f>
        <v>0</v>
      </c>
      <c r="J2359" s="256">
        <f>SUM(J2360:J2365)</f>
        <v>0</v>
      </c>
      <c r="K2359" s="256">
        <f>SUM(K2360:K2365)</f>
        <v>0</v>
      </c>
      <c r="L2359" s="80"/>
    </row>
    <row r="2360" spans="1:12" s="82" customFormat="1" ht="13.5" customHeight="1" hidden="1">
      <c r="A2360" s="407"/>
      <c r="C2360" s="149"/>
      <c r="D2360" s="446" t="s">
        <v>289</v>
      </c>
      <c r="E2360" s="446"/>
      <c r="F2360" s="446"/>
      <c r="G2360" s="446"/>
      <c r="H2360" s="446"/>
      <c r="I2360" s="29"/>
      <c r="J2360" s="80"/>
      <c r="K2360" s="29">
        <f aca="true" t="shared" si="160" ref="K2360:K2365">SUM(I2360:J2360)</f>
        <v>0</v>
      </c>
      <c r="L2360" s="80"/>
    </row>
    <row r="2361" spans="1:12" s="82" customFormat="1" ht="13.5" customHeight="1" hidden="1">
      <c r="A2361" s="407"/>
      <c r="C2361" s="149"/>
      <c r="D2361" s="444" t="s">
        <v>8</v>
      </c>
      <c r="E2361" s="448"/>
      <c r="F2361" s="448"/>
      <c r="G2361" s="448"/>
      <c r="H2361" s="448"/>
      <c r="I2361" s="29"/>
      <c r="J2361" s="80"/>
      <c r="K2361" s="29">
        <f t="shared" si="160"/>
        <v>0</v>
      </c>
      <c r="L2361" s="80"/>
    </row>
    <row r="2362" spans="1:12" s="82" customFormat="1" ht="13.5" customHeight="1" hidden="1">
      <c r="A2362" s="407"/>
      <c r="C2362" s="149"/>
      <c r="D2362" s="444" t="s">
        <v>10</v>
      </c>
      <c r="E2362" s="444"/>
      <c r="F2362" s="444"/>
      <c r="G2362" s="444"/>
      <c r="H2362" s="444"/>
      <c r="I2362" s="29"/>
      <c r="J2362" s="80"/>
      <c r="K2362" s="29">
        <f t="shared" si="160"/>
        <v>0</v>
      </c>
      <c r="L2362" s="80"/>
    </row>
    <row r="2363" spans="1:12" s="82" customFormat="1" ht="13.5" customHeight="1" hidden="1">
      <c r="A2363" s="407"/>
      <c r="C2363" s="149"/>
      <c r="D2363" s="444" t="s">
        <v>9</v>
      </c>
      <c r="E2363" s="444"/>
      <c r="F2363" s="444"/>
      <c r="G2363" s="444"/>
      <c r="H2363" s="444"/>
      <c r="I2363" s="29"/>
      <c r="J2363" s="80"/>
      <c r="K2363" s="29">
        <f t="shared" si="160"/>
        <v>0</v>
      </c>
      <c r="L2363" s="80"/>
    </row>
    <row r="2364" spans="1:12" s="82" customFormat="1" ht="13.5" customHeight="1" hidden="1">
      <c r="A2364" s="407"/>
      <c r="C2364" s="149"/>
      <c r="D2364" s="444" t="s">
        <v>11</v>
      </c>
      <c r="E2364" s="444"/>
      <c r="F2364" s="444"/>
      <c r="G2364" s="444"/>
      <c r="H2364" s="444"/>
      <c r="I2364" s="29"/>
      <c r="J2364" s="80"/>
      <c r="K2364" s="29">
        <f t="shared" si="160"/>
        <v>0</v>
      </c>
      <c r="L2364" s="80"/>
    </row>
    <row r="2365" spans="1:12" s="82" customFormat="1" ht="13.5" customHeight="1" hidden="1">
      <c r="A2365" s="407"/>
      <c r="C2365" s="149"/>
      <c r="D2365" s="444" t="s">
        <v>12</v>
      </c>
      <c r="E2365" s="444"/>
      <c r="F2365" s="444"/>
      <c r="G2365" s="444"/>
      <c r="H2365" s="444"/>
      <c r="I2365" s="29"/>
      <c r="J2365" s="80"/>
      <c r="K2365" s="29">
        <f t="shared" si="160"/>
        <v>0</v>
      </c>
      <c r="L2365" s="80"/>
    </row>
    <row r="2366" spans="1:12" s="82" customFormat="1" ht="13.5" customHeight="1" hidden="1">
      <c r="A2366" s="407"/>
      <c r="C2366" s="149"/>
      <c r="D2366" s="445" t="s">
        <v>277</v>
      </c>
      <c r="E2366" s="445"/>
      <c r="F2366" s="445"/>
      <c r="G2366" s="445"/>
      <c r="H2366" s="445"/>
      <c r="I2366" s="77">
        <f>I2355-I2359</f>
        <v>0</v>
      </c>
      <c r="J2366" s="77">
        <f>J2355-J2359</f>
        <v>0</v>
      </c>
      <c r="K2366" s="77">
        <f>K2355-K2359</f>
        <v>0</v>
      </c>
      <c r="L2366" s="80"/>
    </row>
    <row r="2367" spans="1:12" s="82" customFormat="1" ht="13.5" customHeight="1" hidden="1">
      <c r="A2367" s="407"/>
      <c r="C2367" s="149"/>
      <c r="D2367" s="444" t="s">
        <v>279</v>
      </c>
      <c r="E2367" s="444"/>
      <c r="F2367" s="444"/>
      <c r="G2367" s="444"/>
      <c r="H2367" s="444"/>
      <c r="I2367" s="29">
        <f>I2368+I2369+I2370</f>
        <v>0</v>
      </c>
      <c r="J2367" s="29">
        <f>J2368+J2369+J2370</f>
        <v>0</v>
      </c>
      <c r="K2367" s="29">
        <f>K2368+K2369+K2370</f>
        <v>0</v>
      </c>
      <c r="L2367" s="80"/>
    </row>
    <row r="2368" spans="1:12" s="82" customFormat="1" ht="13.5" customHeight="1" hidden="1">
      <c r="A2368" s="407"/>
      <c r="C2368" s="149"/>
      <c r="D2368" s="444" t="s">
        <v>278</v>
      </c>
      <c r="E2368" s="444"/>
      <c r="F2368" s="444"/>
      <c r="G2368" s="444"/>
      <c r="H2368" s="444"/>
      <c r="I2368" s="29"/>
      <c r="J2368" s="77"/>
      <c r="K2368" s="80">
        <f>SUM(I2368:J2368)</f>
        <v>0</v>
      </c>
      <c r="L2368" s="80"/>
    </row>
    <row r="2369" spans="1:12" s="82" customFormat="1" ht="13.5" customHeight="1" hidden="1">
      <c r="A2369" s="407"/>
      <c r="C2369" s="149"/>
      <c r="D2369" s="444" t="s">
        <v>280</v>
      </c>
      <c r="E2369" s="444"/>
      <c r="F2369" s="444"/>
      <c r="G2369" s="444"/>
      <c r="H2369" s="444"/>
      <c r="I2369" s="29"/>
      <c r="J2369" s="77"/>
      <c r="K2369" s="80">
        <f>SUM(I2369:J2369)</f>
        <v>0</v>
      </c>
      <c r="L2369" s="80"/>
    </row>
    <row r="2370" spans="1:12" s="82" customFormat="1" ht="13.5" customHeight="1" hidden="1">
      <c r="A2370" s="407"/>
      <c r="C2370" s="149"/>
      <c r="D2370" s="444" t="s">
        <v>281</v>
      </c>
      <c r="E2370" s="444"/>
      <c r="F2370" s="444"/>
      <c r="G2370" s="444"/>
      <c r="H2370" s="444"/>
      <c r="I2370" s="29"/>
      <c r="J2370" s="77"/>
      <c r="K2370" s="80">
        <f>SUM(I2370:J2370)</f>
        <v>0</v>
      </c>
      <c r="L2370" s="80"/>
    </row>
    <row r="2371" spans="1:13" s="79" customFormat="1" ht="6" customHeight="1">
      <c r="A2371" s="407"/>
      <c r="C2371" s="151"/>
      <c r="D2371" s="447"/>
      <c r="E2371" s="447"/>
      <c r="F2371" s="447"/>
      <c r="G2371" s="447"/>
      <c r="H2371" s="447"/>
      <c r="I2371" s="77"/>
      <c r="J2371" s="77"/>
      <c r="K2371" s="77"/>
      <c r="L2371" s="80"/>
      <c r="M2371" s="82"/>
    </row>
    <row r="2372" spans="1:13" s="15" customFormat="1" ht="12" customHeight="1">
      <c r="A2372" s="407"/>
      <c r="C2372" s="166" t="s">
        <v>110</v>
      </c>
      <c r="D2372" s="439" t="s">
        <v>208</v>
      </c>
      <c r="E2372" s="439"/>
      <c r="F2372" s="439"/>
      <c r="G2372" s="439"/>
      <c r="H2372" s="439"/>
      <c r="I2372" s="17"/>
      <c r="J2372" s="126"/>
      <c r="K2372" s="126"/>
      <c r="L2372" s="127"/>
      <c r="M2372" s="95"/>
    </row>
    <row r="2373" spans="1:13" s="79" customFormat="1" ht="13.5" customHeight="1">
      <c r="A2373" s="407"/>
      <c r="C2373" s="151"/>
      <c r="D2373" s="447" t="s">
        <v>37</v>
      </c>
      <c r="E2373" s="447"/>
      <c r="F2373" s="447"/>
      <c r="G2373" s="447"/>
      <c r="H2373" s="447"/>
      <c r="I2373" s="77">
        <f>SUM(I2374:I2376)</f>
        <v>508953</v>
      </c>
      <c r="J2373" s="77">
        <f>SUM(J2374:J2376)</f>
        <v>61099</v>
      </c>
      <c r="K2373" s="77">
        <f>SUM(K2374:K2376)</f>
        <v>570052</v>
      </c>
      <c r="L2373" s="80"/>
      <c r="M2373" s="82"/>
    </row>
    <row r="2374" spans="1:13" s="79" customFormat="1" ht="12" customHeight="1">
      <c r="A2374" s="407"/>
      <c r="C2374" s="151"/>
      <c r="D2374" s="446" t="s">
        <v>5</v>
      </c>
      <c r="E2374" s="446"/>
      <c r="F2374" s="446"/>
      <c r="G2374" s="446"/>
      <c r="H2374" s="446"/>
      <c r="I2374" s="29">
        <f aca="true" t="shared" si="161" ref="I2374:K2376">I2392+I2410+I2428+I2446+I2464</f>
        <v>244330</v>
      </c>
      <c r="J2374" s="29">
        <f t="shared" si="161"/>
        <v>10307</v>
      </c>
      <c r="K2374" s="29">
        <f t="shared" si="161"/>
        <v>254637</v>
      </c>
      <c r="L2374" s="80"/>
      <c r="M2374" s="82"/>
    </row>
    <row r="2375" spans="1:13" s="79" customFormat="1" ht="12" customHeight="1">
      <c r="A2375" s="407"/>
      <c r="C2375" s="151"/>
      <c r="D2375" s="446" t="s">
        <v>6</v>
      </c>
      <c r="E2375" s="446"/>
      <c r="F2375" s="446"/>
      <c r="G2375" s="446"/>
      <c r="H2375" s="446"/>
      <c r="I2375" s="29">
        <f t="shared" si="161"/>
        <v>10667</v>
      </c>
      <c r="J2375" s="29">
        <f t="shared" si="161"/>
        <v>0</v>
      </c>
      <c r="K2375" s="29">
        <f t="shared" si="161"/>
        <v>10667</v>
      </c>
      <c r="L2375" s="80"/>
      <c r="M2375" s="82"/>
    </row>
    <row r="2376" spans="1:13" s="79" customFormat="1" ht="12" customHeight="1">
      <c r="A2376" s="407"/>
      <c r="C2376" s="151"/>
      <c r="D2376" s="446" t="s">
        <v>7</v>
      </c>
      <c r="E2376" s="446"/>
      <c r="F2376" s="446"/>
      <c r="G2376" s="446"/>
      <c r="H2376" s="446"/>
      <c r="I2376" s="29">
        <f t="shared" si="161"/>
        <v>253956</v>
      </c>
      <c r="J2376" s="29">
        <f t="shared" si="161"/>
        <v>50792</v>
      </c>
      <c r="K2376" s="29">
        <f t="shared" si="161"/>
        <v>304748</v>
      </c>
      <c r="L2376" s="80"/>
      <c r="M2376" s="82"/>
    </row>
    <row r="2377" spans="1:13" s="79" customFormat="1" ht="12" customHeight="1">
      <c r="A2377" s="407"/>
      <c r="C2377" s="151"/>
      <c r="D2377" s="447" t="s">
        <v>38</v>
      </c>
      <c r="E2377" s="447"/>
      <c r="F2377" s="447"/>
      <c r="G2377" s="447"/>
      <c r="H2377" s="447"/>
      <c r="I2377" s="254">
        <f>SUM(I2378:I2383)</f>
        <v>505993</v>
      </c>
      <c r="J2377" s="254">
        <f>SUM(J2378:J2383)</f>
        <v>61099</v>
      </c>
      <c r="K2377" s="254">
        <f>SUM(K2378:K2383)</f>
        <v>567092</v>
      </c>
      <c r="L2377" s="80"/>
      <c r="M2377" s="82"/>
    </row>
    <row r="2378" spans="1:13" s="79" customFormat="1" ht="13.5" customHeight="1">
      <c r="A2378" s="407"/>
      <c r="C2378" s="151"/>
      <c r="D2378" s="446" t="s">
        <v>289</v>
      </c>
      <c r="E2378" s="446"/>
      <c r="F2378" s="446"/>
      <c r="G2378" s="446"/>
      <c r="H2378" s="446"/>
      <c r="I2378" s="29">
        <f aca="true" t="shared" si="162" ref="I2378:K2383">I2396+I2414+I2432+I2450+I2468</f>
        <v>422580</v>
      </c>
      <c r="J2378" s="29">
        <f t="shared" si="162"/>
        <v>61099</v>
      </c>
      <c r="K2378" s="29">
        <f t="shared" si="162"/>
        <v>483679</v>
      </c>
      <c r="L2378" s="80"/>
      <c r="M2378" s="82"/>
    </row>
    <row r="2379" spans="1:12" s="82" customFormat="1" ht="13.5" customHeight="1">
      <c r="A2379" s="407"/>
      <c r="C2379" s="151"/>
      <c r="D2379" s="444" t="s">
        <v>8</v>
      </c>
      <c r="E2379" s="448"/>
      <c r="F2379" s="448"/>
      <c r="G2379" s="448"/>
      <c r="H2379" s="448"/>
      <c r="I2379" s="29">
        <f t="shared" si="162"/>
        <v>76472</v>
      </c>
      <c r="J2379" s="29">
        <f t="shared" si="162"/>
        <v>0</v>
      </c>
      <c r="K2379" s="29">
        <f t="shared" si="162"/>
        <v>76472</v>
      </c>
      <c r="L2379" s="80"/>
    </row>
    <row r="2380" spans="1:12" s="82" customFormat="1" ht="13.5" customHeight="1" hidden="1">
      <c r="A2380" s="407"/>
      <c r="C2380" s="151"/>
      <c r="D2380" s="444" t="s">
        <v>10</v>
      </c>
      <c r="E2380" s="444"/>
      <c r="F2380" s="444"/>
      <c r="G2380" s="444"/>
      <c r="H2380" s="444"/>
      <c r="I2380" s="29">
        <f t="shared" si="162"/>
        <v>0</v>
      </c>
      <c r="J2380" s="29">
        <f t="shared" si="162"/>
        <v>0</v>
      </c>
      <c r="K2380" s="29">
        <f t="shared" si="162"/>
        <v>0</v>
      </c>
      <c r="L2380" s="80"/>
    </row>
    <row r="2381" spans="1:12" s="82" customFormat="1" ht="12.75" customHeight="1">
      <c r="A2381" s="407"/>
      <c r="C2381" s="149"/>
      <c r="D2381" s="444" t="s">
        <v>9</v>
      </c>
      <c r="E2381" s="444"/>
      <c r="F2381" s="444"/>
      <c r="G2381" s="444"/>
      <c r="H2381" s="444"/>
      <c r="I2381" s="29">
        <f t="shared" si="162"/>
        <v>88</v>
      </c>
      <c r="J2381" s="29">
        <f t="shared" si="162"/>
        <v>0</v>
      </c>
      <c r="K2381" s="29">
        <f t="shared" si="162"/>
        <v>88</v>
      </c>
      <c r="L2381" s="80"/>
    </row>
    <row r="2382" spans="1:12" s="82" customFormat="1" ht="13.5" customHeight="1">
      <c r="A2382" s="407"/>
      <c r="C2382" s="149"/>
      <c r="D2382" s="444" t="s">
        <v>11</v>
      </c>
      <c r="E2382" s="444"/>
      <c r="F2382" s="444"/>
      <c r="G2382" s="444"/>
      <c r="H2382" s="444"/>
      <c r="I2382" s="29">
        <f t="shared" si="162"/>
        <v>6853</v>
      </c>
      <c r="J2382" s="29">
        <f t="shared" si="162"/>
        <v>0</v>
      </c>
      <c r="K2382" s="29">
        <f t="shared" si="162"/>
        <v>6853</v>
      </c>
      <c r="L2382" s="80"/>
    </row>
    <row r="2383" spans="1:12" s="82" customFormat="1" ht="13.5" customHeight="1" hidden="1">
      <c r="A2383" s="407"/>
      <c r="C2383" s="149"/>
      <c r="D2383" s="444" t="s">
        <v>12</v>
      </c>
      <c r="E2383" s="444"/>
      <c r="F2383" s="444"/>
      <c r="G2383" s="444"/>
      <c r="H2383" s="444"/>
      <c r="I2383" s="29">
        <f t="shared" si="162"/>
        <v>0</v>
      </c>
      <c r="J2383" s="29">
        <f t="shared" si="162"/>
        <v>0</v>
      </c>
      <c r="K2383" s="29">
        <f t="shared" si="162"/>
        <v>0</v>
      </c>
      <c r="L2383" s="80"/>
    </row>
    <row r="2384" spans="1:12" s="82" customFormat="1" ht="11.25" customHeight="1">
      <c r="A2384" s="407"/>
      <c r="C2384" s="149"/>
      <c r="D2384" s="445" t="s">
        <v>277</v>
      </c>
      <c r="E2384" s="445"/>
      <c r="F2384" s="445"/>
      <c r="G2384" s="445"/>
      <c r="H2384" s="445"/>
      <c r="I2384" s="77">
        <f>I2373-I2377</f>
        <v>2960</v>
      </c>
      <c r="J2384" s="77">
        <f>J2373-J2377</f>
        <v>0</v>
      </c>
      <c r="K2384" s="77">
        <f>K2373-K2377</f>
        <v>2960</v>
      </c>
      <c r="L2384" s="80"/>
    </row>
    <row r="2385" spans="1:12" s="82" customFormat="1" ht="13.5" customHeight="1">
      <c r="A2385" s="407"/>
      <c r="C2385" s="149"/>
      <c r="D2385" s="444" t="s">
        <v>279</v>
      </c>
      <c r="E2385" s="444"/>
      <c r="F2385" s="444"/>
      <c r="G2385" s="444"/>
      <c r="H2385" s="444"/>
      <c r="I2385" s="29">
        <f>I2386+I2387+I2388</f>
        <v>-2960</v>
      </c>
      <c r="J2385" s="29">
        <f>J2386+J2387+J2388</f>
        <v>0</v>
      </c>
      <c r="K2385" s="29">
        <f>K2386+K2387+K2388</f>
        <v>-2960</v>
      </c>
      <c r="L2385" s="80"/>
    </row>
    <row r="2386" spans="1:12" s="82" customFormat="1" ht="13.5" customHeight="1">
      <c r="A2386" s="407"/>
      <c r="C2386" s="149"/>
      <c r="D2386" s="444" t="s">
        <v>278</v>
      </c>
      <c r="E2386" s="444"/>
      <c r="F2386" s="444"/>
      <c r="G2386" s="444"/>
      <c r="H2386" s="444"/>
      <c r="I2386" s="29">
        <f aca="true" t="shared" si="163" ref="I2386:K2388">I2404+I2422+I2440+I2458+I2476</f>
        <v>1440</v>
      </c>
      <c r="J2386" s="29">
        <f t="shared" si="163"/>
        <v>0</v>
      </c>
      <c r="K2386" s="29">
        <f t="shared" si="163"/>
        <v>1440</v>
      </c>
      <c r="L2386" s="80"/>
    </row>
    <row r="2387" spans="1:12" s="82" customFormat="1" ht="13.5" customHeight="1" hidden="1">
      <c r="A2387" s="407"/>
      <c r="C2387" s="149"/>
      <c r="D2387" s="444" t="s">
        <v>280</v>
      </c>
      <c r="E2387" s="444"/>
      <c r="F2387" s="444"/>
      <c r="G2387" s="444"/>
      <c r="H2387" s="444"/>
      <c r="I2387" s="29">
        <f t="shared" si="163"/>
        <v>0</v>
      </c>
      <c r="J2387" s="29">
        <f t="shared" si="163"/>
        <v>0</v>
      </c>
      <c r="K2387" s="29">
        <f t="shared" si="163"/>
        <v>0</v>
      </c>
      <c r="L2387" s="80"/>
    </row>
    <row r="2388" spans="1:12" s="82" customFormat="1" ht="13.5" customHeight="1">
      <c r="A2388" s="407"/>
      <c r="C2388" s="149"/>
      <c r="D2388" s="444" t="s">
        <v>281</v>
      </c>
      <c r="E2388" s="444"/>
      <c r="F2388" s="444"/>
      <c r="G2388" s="444"/>
      <c r="H2388" s="444"/>
      <c r="I2388" s="29">
        <f t="shared" si="163"/>
        <v>-4400</v>
      </c>
      <c r="J2388" s="29">
        <f t="shared" si="163"/>
        <v>0</v>
      </c>
      <c r="K2388" s="29">
        <f t="shared" si="163"/>
        <v>-4400</v>
      </c>
      <c r="L2388" s="80"/>
    </row>
    <row r="2389" spans="1:12" s="82" customFormat="1" ht="6.75" customHeight="1">
      <c r="A2389" s="407"/>
      <c r="C2389" s="149"/>
      <c r="D2389" s="81"/>
      <c r="E2389" s="81"/>
      <c r="F2389" s="81"/>
      <c r="G2389" s="81"/>
      <c r="H2389" s="81"/>
      <c r="I2389" s="29"/>
      <c r="J2389" s="29"/>
      <c r="K2389" s="29"/>
      <c r="L2389" s="80"/>
    </row>
    <row r="2390" spans="1:12" s="95" customFormat="1" ht="13.5" customHeight="1">
      <c r="A2390" s="407"/>
      <c r="C2390" s="153" t="s">
        <v>110</v>
      </c>
      <c r="D2390" s="434" t="s">
        <v>410</v>
      </c>
      <c r="E2390" s="434"/>
      <c r="F2390" s="434"/>
      <c r="G2390" s="434"/>
      <c r="H2390" s="434"/>
      <c r="I2390" s="129"/>
      <c r="J2390" s="127"/>
      <c r="K2390" s="127"/>
      <c r="L2390" s="127"/>
    </row>
    <row r="2391" spans="1:12" s="82" customFormat="1" ht="13.5" customHeight="1">
      <c r="A2391" s="407"/>
      <c r="C2391" s="149"/>
      <c r="D2391" s="447" t="s">
        <v>37</v>
      </c>
      <c r="E2391" s="447"/>
      <c r="F2391" s="447"/>
      <c r="G2391" s="447"/>
      <c r="H2391" s="447"/>
      <c r="I2391" s="77">
        <f>SUM(I2392:I2394)</f>
        <v>254997</v>
      </c>
      <c r="J2391" s="77">
        <f>SUM(J2392:J2394)</f>
        <v>10307</v>
      </c>
      <c r="K2391" s="77">
        <f>SUM(K2392:K2394)</f>
        <v>265304</v>
      </c>
      <c r="L2391" s="80"/>
    </row>
    <row r="2392" spans="1:12" s="82" customFormat="1" ht="12" customHeight="1">
      <c r="A2392" s="407"/>
      <c r="C2392" s="149"/>
      <c r="D2392" s="446" t="s">
        <v>5</v>
      </c>
      <c r="E2392" s="446"/>
      <c r="F2392" s="446"/>
      <c r="G2392" s="446"/>
      <c r="H2392" s="446"/>
      <c r="I2392" s="29">
        <f>230029+14301</f>
        <v>244330</v>
      </c>
      <c r="J2392" s="80">
        <v>10307</v>
      </c>
      <c r="K2392" s="80">
        <f>SUM(I2392:J2392)</f>
        <v>254637</v>
      </c>
      <c r="L2392" s="80"/>
    </row>
    <row r="2393" spans="1:12" s="82" customFormat="1" ht="12" customHeight="1">
      <c r="A2393" s="407"/>
      <c r="C2393" s="149"/>
      <c r="D2393" s="446" t="s">
        <v>6</v>
      </c>
      <c r="E2393" s="446"/>
      <c r="F2393" s="446"/>
      <c r="G2393" s="446"/>
      <c r="H2393" s="446"/>
      <c r="I2393" s="29">
        <v>10667</v>
      </c>
      <c r="J2393" s="80"/>
      <c r="K2393" s="80">
        <f>SUM(I2393:J2393)</f>
        <v>10667</v>
      </c>
      <c r="L2393" s="80"/>
    </row>
    <row r="2394" spans="1:12" s="82" customFormat="1" ht="13.5" customHeight="1" hidden="1">
      <c r="A2394" s="407"/>
      <c r="C2394" s="149"/>
      <c r="D2394" s="446" t="s">
        <v>7</v>
      </c>
      <c r="E2394" s="446"/>
      <c r="F2394" s="446"/>
      <c r="G2394" s="446"/>
      <c r="H2394" s="446"/>
      <c r="I2394" s="29"/>
      <c r="J2394" s="80"/>
      <c r="K2394" s="80">
        <f>SUM(I2394:J2394)</f>
        <v>0</v>
      </c>
      <c r="L2394" s="80"/>
    </row>
    <row r="2395" spans="1:12" s="82" customFormat="1" ht="13.5" customHeight="1">
      <c r="A2395" s="407"/>
      <c r="C2395" s="149"/>
      <c r="D2395" s="447" t="s">
        <v>38</v>
      </c>
      <c r="E2395" s="447"/>
      <c r="F2395" s="447"/>
      <c r="G2395" s="447"/>
      <c r="H2395" s="447"/>
      <c r="I2395" s="256">
        <f>SUM(I2396:I2401)</f>
        <v>252037</v>
      </c>
      <c r="J2395" s="256">
        <f>SUM(J2396:J2401)</f>
        <v>10307</v>
      </c>
      <c r="K2395" s="256">
        <f>SUM(K2396:K2401)</f>
        <v>262344</v>
      </c>
      <c r="L2395" s="80"/>
    </row>
    <row r="2396" spans="1:12" s="82" customFormat="1" ht="12" customHeight="1">
      <c r="A2396" s="407"/>
      <c r="C2396" s="149"/>
      <c r="D2396" s="446" t="s">
        <v>289</v>
      </c>
      <c r="E2396" s="446"/>
      <c r="F2396" s="446"/>
      <c r="G2396" s="446"/>
      <c r="H2396" s="446"/>
      <c r="I2396" s="29">
        <f>151211+8277+9136</f>
        <v>168624</v>
      </c>
      <c r="J2396" s="80">
        <v>10307</v>
      </c>
      <c r="K2396" s="80">
        <f aca="true" t="shared" si="164" ref="K2396:K2401">SUM(I2396:J2396)</f>
        <v>178931</v>
      </c>
      <c r="L2396" s="80"/>
    </row>
    <row r="2397" spans="1:12" s="82" customFormat="1" ht="12" customHeight="1">
      <c r="A2397" s="407"/>
      <c r="C2397" s="149"/>
      <c r="D2397" s="444" t="s">
        <v>8</v>
      </c>
      <c r="E2397" s="448"/>
      <c r="F2397" s="448"/>
      <c r="G2397" s="448"/>
      <c r="H2397" s="448"/>
      <c r="I2397" s="29">
        <f>68807+2500+5165</f>
        <v>76472</v>
      </c>
      <c r="J2397" s="80"/>
      <c r="K2397" s="80">
        <f t="shared" si="164"/>
        <v>76472</v>
      </c>
      <c r="L2397" s="80"/>
    </row>
    <row r="2398" spans="1:12" s="82" customFormat="1" ht="13.5" customHeight="1" hidden="1">
      <c r="A2398" s="407"/>
      <c r="C2398" s="149"/>
      <c r="D2398" s="444" t="s">
        <v>10</v>
      </c>
      <c r="E2398" s="444"/>
      <c r="F2398" s="444"/>
      <c r="G2398" s="444"/>
      <c r="H2398" s="444"/>
      <c r="I2398" s="29"/>
      <c r="J2398" s="80"/>
      <c r="K2398" s="80">
        <f t="shared" si="164"/>
        <v>0</v>
      </c>
      <c r="L2398" s="80"/>
    </row>
    <row r="2399" spans="1:12" s="82" customFormat="1" ht="13.5" customHeight="1">
      <c r="A2399" s="407"/>
      <c r="C2399" s="149"/>
      <c r="D2399" s="444" t="s">
        <v>9</v>
      </c>
      <c r="E2399" s="444"/>
      <c r="F2399" s="444"/>
      <c r="G2399" s="444"/>
      <c r="H2399" s="444"/>
      <c r="I2399" s="29">
        <v>88</v>
      </c>
      <c r="J2399" s="80"/>
      <c r="K2399" s="80">
        <f t="shared" si="164"/>
        <v>88</v>
      </c>
      <c r="L2399" s="80"/>
    </row>
    <row r="2400" spans="1:12" s="82" customFormat="1" ht="13.5" customHeight="1">
      <c r="A2400" s="407"/>
      <c r="C2400" s="151"/>
      <c r="D2400" s="444" t="s">
        <v>11</v>
      </c>
      <c r="E2400" s="444"/>
      <c r="F2400" s="444"/>
      <c r="G2400" s="444"/>
      <c r="H2400" s="444"/>
      <c r="I2400" s="29">
        <f>5523+1330</f>
        <v>6853</v>
      </c>
      <c r="J2400" s="77"/>
      <c r="K2400" s="80">
        <f t="shared" si="164"/>
        <v>6853</v>
      </c>
      <c r="L2400" s="80"/>
    </row>
    <row r="2401" spans="1:12" s="82" customFormat="1" ht="13.5" customHeight="1" hidden="1">
      <c r="A2401" s="407"/>
      <c r="C2401" s="151"/>
      <c r="D2401" s="444" t="s">
        <v>12</v>
      </c>
      <c r="E2401" s="444"/>
      <c r="F2401" s="444"/>
      <c r="G2401" s="444"/>
      <c r="H2401" s="444"/>
      <c r="I2401" s="29"/>
      <c r="J2401" s="80"/>
      <c r="K2401" s="80">
        <f t="shared" si="164"/>
        <v>0</v>
      </c>
      <c r="L2401" s="80"/>
    </row>
    <row r="2402" spans="1:12" s="82" customFormat="1" ht="11.25" customHeight="1">
      <c r="A2402" s="407"/>
      <c r="C2402" s="151"/>
      <c r="D2402" s="445" t="s">
        <v>277</v>
      </c>
      <c r="E2402" s="445"/>
      <c r="F2402" s="445"/>
      <c r="G2402" s="445"/>
      <c r="H2402" s="445"/>
      <c r="I2402" s="77">
        <f>I2391-I2395</f>
        <v>2960</v>
      </c>
      <c r="J2402" s="77">
        <f>J2391-J2395</f>
        <v>0</v>
      </c>
      <c r="K2402" s="77">
        <f>K2391-K2395</f>
        <v>2960</v>
      </c>
      <c r="L2402" s="80"/>
    </row>
    <row r="2403" spans="1:12" s="82" customFormat="1" ht="11.25" customHeight="1">
      <c r="A2403" s="407"/>
      <c r="C2403" s="151"/>
      <c r="D2403" s="444" t="s">
        <v>279</v>
      </c>
      <c r="E2403" s="444"/>
      <c r="F2403" s="444"/>
      <c r="G2403" s="444"/>
      <c r="H2403" s="444"/>
      <c r="I2403" s="29">
        <f>I2404+I2405+I2406</f>
        <v>-2960</v>
      </c>
      <c r="J2403" s="29">
        <f>J2404+J2405+J2406</f>
        <v>0</v>
      </c>
      <c r="K2403" s="29">
        <f>K2404+K2405+K2406</f>
        <v>-2960</v>
      </c>
      <c r="L2403" s="80"/>
    </row>
    <row r="2404" spans="1:12" s="82" customFormat="1" ht="11.25" customHeight="1">
      <c r="A2404" s="407"/>
      <c r="C2404" s="151"/>
      <c r="D2404" s="444" t="s">
        <v>278</v>
      </c>
      <c r="E2404" s="444"/>
      <c r="F2404" s="444"/>
      <c r="G2404" s="444"/>
      <c r="H2404" s="444"/>
      <c r="I2404" s="29">
        <v>1440</v>
      </c>
      <c r="J2404" s="77"/>
      <c r="K2404" s="80">
        <f>SUM(I2404:J2404)</f>
        <v>1440</v>
      </c>
      <c r="L2404" s="80"/>
    </row>
    <row r="2405" spans="1:12" s="82" customFormat="1" ht="13.5" customHeight="1" hidden="1">
      <c r="A2405" s="407"/>
      <c r="C2405" s="151"/>
      <c r="D2405" s="444" t="s">
        <v>280</v>
      </c>
      <c r="E2405" s="444"/>
      <c r="F2405" s="444"/>
      <c r="G2405" s="444"/>
      <c r="H2405" s="444"/>
      <c r="I2405" s="29"/>
      <c r="J2405" s="77"/>
      <c r="K2405" s="80">
        <f>SUM(I2405:J2405)</f>
        <v>0</v>
      </c>
      <c r="L2405" s="80"/>
    </row>
    <row r="2406" spans="1:12" s="82" customFormat="1" ht="13.5" customHeight="1">
      <c r="A2406" s="407"/>
      <c r="C2406" s="151"/>
      <c r="D2406" s="444" t="s">
        <v>281</v>
      </c>
      <c r="E2406" s="444"/>
      <c r="F2406" s="444"/>
      <c r="G2406" s="444"/>
      <c r="H2406" s="444"/>
      <c r="I2406" s="29">
        <f>-4400</f>
        <v>-4400</v>
      </c>
      <c r="J2406" s="77"/>
      <c r="K2406" s="80">
        <f>SUM(I2406:J2406)</f>
        <v>-4400</v>
      </c>
      <c r="L2406" s="80"/>
    </row>
    <row r="2407" spans="1:12" s="82" customFormat="1" ht="5.25" customHeight="1">
      <c r="A2407" s="407"/>
      <c r="C2407" s="149"/>
      <c r="D2407" s="81"/>
      <c r="E2407" s="81"/>
      <c r="F2407" s="81"/>
      <c r="G2407" s="81"/>
      <c r="H2407" s="81"/>
      <c r="I2407" s="29"/>
      <c r="J2407" s="80"/>
      <c r="K2407" s="80"/>
      <c r="L2407" s="80"/>
    </row>
    <row r="2408" spans="1:12" s="95" customFormat="1" ht="13.5" customHeight="1">
      <c r="A2408" s="407"/>
      <c r="C2408" s="153" t="s">
        <v>110</v>
      </c>
      <c r="D2408" s="434" t="s">
        <v>410</v>
      </c>
      <c r="E2408" s="434"/>
      <c r="F2408" s="434"/>
      <c r="G2408" s="434"/>
      <c r="H2408" s="434"/>
      <c r="I2408" s="129"/>
      <c r="J2408" s="127"/>
      <c r="K2408" s="127"/>
      <c r="L2408" s="127"/>
    </row>
    <row r="2409" spans="1:12" s="82" customFormat="1" ht="13.5" customHeight="1">
      <c r="A2409" s="407"/>
      <c r="C2409" s="149"/>
      <c r="D2409" s="447" t="s">
        <v>37</v>
      </c>
      <c r="E2409" s="447"/>
      <c r="F2409" s="447"/>
      <c r="G2409" s="447"/>
      <c r="H2409" s="447"/>
      <c r="I2409" s="77">
        <f>SUM(I2410:I2412)</f>
        <v>253956</v>
      </c>
      <c r="J2409" s="77">
        <f>SUM(J2410:J2412)</f>
        <v>50792</v>
      </c>
      <c r="K2409" s="77">
        <f>SUM(K2410:K2412)</f>
        <v>304748</v>
      </c>
      <c r="L2409" s="80"/>
    </row>
    <row r="2410" spans="1:12" s="82" customFormat="1" ht="13.5" customHeight="1" hidden="1">
      <c r="A2410" s="407"/>
      <c r="C2410" s="149"/>
      <c r="D2410" s="446" t="s">
        <v>5</v>
      </c>
      <c r="E2410" s="446"/>
      <c r="F2410" s="446"/>
      <c r="G2410" s="446"/>
      <c r="H2410" s="446"/>
      <c r="I2410" s="29"/>
      <c r="J2410" s="80"/>
      <c r="K2410" s="80">
        <f>SUM(I2410:J2410)</f>
        <v>0</v>
      </c>
      <c r="L2410" s="80"/>
    </row>
    <row r="2411" spans="1:12" s="82" customFormat="1" ht="13.5" customHeight="1" hidden="1">
      <c r="A2411" s="407"/>
      <c r="C2411" s="149"/>
      <c r="D2411" s="446" t="s">
        <v>6</v>
      </c>
      <c r="E2411" s="446"/>
      <c r="F2411" s="446"/>
      <c r="G2411" s="446"/>
      <c r="H2411" s="446"/>
      <c r="I2411" s="29"/>
      <c r="J2411" s="80"/>
      <c r="K2411" s="80">
        <f>SUM(I2411:J2411)</f>
        <v>0</v>
      </c>
      <c r="L2411" s="80"/>
    </row>
    <row r="2412" spans="1:12" s="82" customFormat="1" ht="13.5" customHeight="1">
      <c r="A2412" s="407"/>
      <c r="C2412" s="149"/>
      <c r="D2412" s="446" t="s">
        <v>7</v>
      </c>
      <c r="E2412" s="446"/>
      <c r="F2412" s="446"/>
      <c r="G2412" s="446"/>
      <c r="H2412" s="446"/>
      <c r="I2412" s="29">
        <f>203165+50791</f>
        <v>253956</v>
      </c>
      <c r="J2412" s="80">
        <f>50792</f>
        <v>50792</v>
      </c>
      <c r="K2412" s="80">
        <f>SUM(I2412:J2412)</f>
        <v>304748</v>
      </c>
      <c r="L2412" s="80"/>
    </row>
    <row r="2413" spans="1:12" s="82" customFormat="1" ht="13.5" customHeight="1">
      <c r="A2413" s="407"/>
      <c r="C2413" s="149"/>
      <c r="D2413" s="447" t="s">
        <v>38</v>
      </c>
      <c r="E2413" s="447"/>
      <c r="F2413" s="447"/>
      <c r="G2413" s="447"/>
      <c r="H2413" s="447"/>
      <c r="I2413" s="256">
        <f>SUM(I2414:I2419)</f>
        <v>253956</v>
      </c>
      <c r="J2413" s="256">
        <f>SUM(J2414:J2419)</f>
        <v>50792</v>
      </c>
      <c r="K2413" s="256">
        <f>SUM(K2414:K2419)</f>
        <v>304748</v>
      </c>
      <c r="L2413" s="80"/>
    </row>
    <row r="2414" spans="1:12" s="82" customFormat="1" ht="12.75" customHeight="1">
      <c r="A2414" s="407"/>
      <c r="C2414" s="149"/>
      <c r="D2414" s="446" t="s">
        <v>289</v>
      </c>
      <c r="E2414" s="446"/>
      <c r="F2414" s="446"/>
      <c r="G2414" s="446"/>
      <c r="H2414" s="446"/>
      <c r="I2414" s="29">
        <f>203165+50791</f>
        <v>253956</v>
      </c>
      <c r="J2414" s="80">
        <v>50792</v>
      </c>
      <c r="K2414" s="80">
        <f aca="true" t="shared" si="165" ref="K2414:K2419">SUM(I2414:J2414)</f>
        <v>304748</v>
      </c>
      <c r="L2414" s="80"/>
    </row>
    <row r="2415" spans="1:12" s="82" customFormat="1" ht="13.5" customHeight="1" hidden="1">
      <c r="A2415" s="407"/>
      <c r="C2415" s="149"/>
      <c r="D2415" s="444" t="s">
        <v>8</v>
      </c>
      <c r="E2415" s="448"/>
      <c r="F2415" s="448"/>
      <c r="G2415" s="448"/>
      <c r="H2415" s="448"/>
      <c r="I2415" s="29"/>
      <c r="J2415" s="80"/>
      <c r="K2415" s="80">
        <f t="shared" si="165"/>
        <v>0</v>
      </c>
      <c r="L2415" s="80"/>
    </row>
    <row r="2416" spans="1:12" s="82" customFormat="1" ht="13.5" customHeight="1" hidden="1">
      <c r="A2416" s="407"/>
      <c r="C2416" s="149"/>
      <c r="D2416" s="444" t="s">
        <v>10</v>
      </c>
      <c r="E2416" s="444"/>
      <c r="F2416" s="444"/>
      <c r="G2416" s="444"/>
      <c r="H2416" s="444"/>
      <c r="I2416" s="29"/>
      <c r="J2416" s="80"/>
      <c r="K2416" s="80">
        <f t="shared" si="165"/>
        <v>0</v>
      </c>
      <c r="L2416" s="80"/>
    </row>
    <row r="2417" spans="1:12" s="82" customFormat="1" ht="13.5" customHeight="1" hidden="1">
      <c r="A2417" s="407"/>
      <c r="C2417" s="149"/>
      <c r="D2417" s="444" t="s">
        <v>9</v>
      </c>
      <c r="E2417" s="444"/>
      <c r="F2417" s="444"/>
      <c r="G2417" s="444"/>
      <c r="H2417" s="444"/>
      <c r="I2417" s="29"/>
      <c r="J2417" s="80"/>
      <c r="K2417" s="80">
        <f t="shared" si="165"/>
        <v>0</v>
      </c>
      <c r="L2417" s="80"/>
    </row>
    <row r="2418" spans="1:12" s="82" customFormat="1" ht="13.5" customHeight="1" hidden="1">
      <c r="A2418" s="407"/>
      <c r="C2418" s="149"/>
      <c r="D2418" s="444" t="s">
        <v>11</v>
      </c>
      <c r="E2418" s="444"/>
      <c r="F2418" s="444"/>
      <c r="G2418" s="444"/>
      <c r="H2418" s="444"/>
      <c r="I2418" s="29"/>
      <c r="J2418" s="80"/>
      <c r="K2418" s="80">
        <f t="shared" si="165"/>
        <v>0</v>
      </c>
      <c r="L2418" s="80"/>
    </row>
    <row r="2419" spans="1:12" s="82" customFormat="1" ht="13.5" customHeight="1" hidden="1">
      <c r="A2419" s="407"/>
      <c r="C2419" s="149"/>
      <c r="D2419" s="444" t="s">
        <v>12</v>
      </c>
      <c r="E2419" s="444"/>
      <c r="F2419" s="444"/>
      <c r="G2419" s="444"/>
      <c r="H2419" s="444"/>
      <c r="I2419" s="29"/>
      <c r="J2419" s="80"/>
      <c r="K2419" s="80">
        <f t="shared" si="165"/>
        <v>0</v>
      </c>
      <c r="L2419" s="80"/>
    </row>
    <row r="2420" spans="1:12" s="82" customFormat="1" ht="13.5" customHeight="1">
      <c r="A2420" s="407"/>
      <c r="C2420" s="149"/>
      <c r="D2420" s="445" t="s">
        <v>277</v>
      </c>
      <c r="E2420" s="445"/>
      <c r="F2420" s="445"/>
      <c r="G2420" s="445"/>
      <c r="H2420" s="445"/>
      <c r="I2420" s="77">
        <f>I2409-I2413</f>
        <v>0</v>
      </c>
      <c r="J2420" s="77">
        <f>J2409-J2413</f>
        <v>0</v>
      </c>
      <c r="K2420" s="77">
        <f>K2409-K2413</f>
        <v>0</v>
      </c>
      <c r="L2420" s="80"/>
    </row>
    <row r="2421" spans="1:12" s="82" customFormat="1" ht="12.75" customHeight="1">
      <c r="A2421" s="407"/>
      <c r="C2421" s="149"/>
      <c r="D2421" s="444" t="s">
        <v>279</v>
      </c>
      <c r="E2421" s="444"/>
      <c r="F2421" s="444"/>
      <c r="G2421" s="444"/>
      <c r="H2421" s="444"/>
      <c r="I2421" s="29">
        <f>I2422+I2423+I2424</f>
        <v>0</v>
      </c>
      <c r="J2421" s="29">
        <f>J2422+J2423+J2424</f>
        <v>0</v>
      </c>
      <c r="K2421" s="29">
        <f>K2422+K2423+K2424</f>
        <v>0</v>
      </c>
      <c r="L2421" s="80"/>
    </row>
    <row r="2422" spans="1:12" s="82" customFormat="1" ht="13.5" customHeight="1" hidden="1">
      <c r="A2422" s="407"/>
      <c r="C2422" s="149"/>
      <c r="D2422" s="444" t="s">
        <v>278</v>
      </c>
      <c r="E2422" s="444"/>
      <c r="F2422" s="444"/>
      <c r="G2422" s="444"/>
      <c r="H2422" s="444"/>
      <c r="I2422" s="29"/>
      <c r="J2422" s="77"/>
      <c r="K2422" s="80">
        <f>SUM(I2422:J2422)</f>
        <v>0</v>
      </c>
      <c r="L2422" s="80"/>
    </row>
    <row r="2423" spans="1:12" s="82" customFormat="1" ht="13.5" customHeight="1" hidden="1">
      <c r="A2423" s="407"/>
      <c r="C2423" s="149"/>
      <c r="D2423" s="444" t="s">
        <v>280</v>
      </c>
      <c r="E2423" s="444"/>
      <c r="F2423" s="444"/>
      <c r="G2423" s="444"/>
      <c r="H2423" s="444"/>
      <c r="I2423" s="29"/>
      <c r="J2423" s="77"/>
      <c r="K2423" s="80">
        <f>SUM(I2423:J2423)</f>
        <v>0</v>
      </c>
      <c r="L2423" s="80"/>
    </row>
    <row r="2424" spans="1:12" s="82" customFormat="1" ht="13.5" customHeight="1" hidden="1">
      <c r="A2424" s="407"/>
      <c r="C2424" s="149"/>
      <c r="D2424" s="444" t="s">
        <v>281</v>
      </c>
      <c r="E2424" s="444"/>
      <c r="F2424" s="444"/>
      <c r="G2424" s="444"/>
      <c r="H2424" s="444"/>
      <c r="I2424" s="29"/>
      <c r="J2424" s="77"/>
      <c r="K2424" s="80">
        <f>SUM(I2424:J2424)</f>
        <v>0</v>
      </c>
      <c r="L2424" s="80"/>
    </row>
    <row r="2425" spans="1:12" s="82" customFormat="1" ht="9" customHeight="1" hidden="1">
      <c r="A2425" s="407"/>
      <c r="C2425" s="149"/>
      <c r="D2425" s="85"/>
      <c r="E2425" s="85"/>
      <c r="F2425" s="85"/>
      <c r="G2425" s="85"/>
      <c r="H2425" s="85"/>
      <c r="I2425" s="29"/>
      <c r="J2425" s="80"/>
      <c r="K2425" s="80"/>
      <c r="L2425" s="80"/>
    </row>
    <row r="2426" spans="1:12" s="169" customFormat="1" ht="13.5" customHeight="1" hidden="1">
      <c r="A2426" s="415"/>
      <c r="C2426" s="135" t="s">
        <v>110</v>
      </c>
      <c r="D2426" s="434" t="s">
        <v>409</v>
      </c>
      <c r="E2426" s="434"/>
      <c r="F2426" s="434"/>
      <c r="G2426" s="434"/>
      <c r="H2426" s="434"/>
      <c r="I2426" s="167"/>
      <c r="J2426" s="168"/>
      <c r="K2426" s="168"/>
      <c r="L2426" s="168"/>
    </row>
    <row r="2427" spans="1:12" s="89" customFormat="1" ht="13.5" customHeight="1" hidden="1">
      <c r="A2427" s="415"/>
      <c r="C2427" s="96"/>
      <c r="D2427" s="447" t="s">
        <v>37</v>
      </c>
      <c r="E2427" s="447"/>
      <c r="F2427" s="447"/>
      <c r="G2427" s="447"/>
      <c r="H2427" s="447"/>
      <c r="I2427" s="77">
        <f>SUM(I2428:I2430)</f>
        <v>0</v>
      </c>
      <c r="J2427" s="77">
        <f>SUM(J2428:J2430)</f>
        <v>0</v>
      </c>
      <c r="K2427" s="77">
        <f>SUM(K2428:K2430)</f>
        <v>0</v>
      </c>
      <c r="L2427" s="107"/>
    </row>
    <row r="2428" spans="1:12" s="89" customFormat="1" ht="13.5" customHeight="1" hidden="1">
      <c r="A2428" s="415"/>
      <c r="C2428" s="96"/>
      <c r="D2428" s="446" t="s">
        <v>5</v>
      </c>
      <c r="E2428" s="446"/>
      <c r="F2428" s="446"/>
      <c r="G2428" s="446"/>
      <c r="H2428" s="446"/>
      <c r="I2428" s="29"/>
      <c r="J2428" s="107"/>
      <c r="K2428" s="107">
        <f>SUM(I2428:J2428)</f>
        <v>0</v>
      </c>
      <c r="L2428" s="107"/>
    </row>
    <row r="2429" spans="1:12" s="89" customFormat="1" ht="13.5" customHeight="1" hidden="1">
      <c r="A2429" s="415"/>
      <c r="C2429" s="96"/>
      <c r="D2429" s="446" t="s">
        <v>6</v>
      </c>
      <c r="E2429" s="446"/>
      <c r="F2429" s="446"/>
      <c r="G2429" s="446"/>
      <c r="H2429" s="446"/>
      <c r="I2429" s="29"/>
      <c r="J2429" s="107"/>
      <c r="K2429" s="107">
        <f>SUM(I2429:J2429)</f>
        <v>0</v>
      </c>
      <c r="L2429" s="107"/>
    </row>
    <row r="2430" spans="1:12" s="89" customFormat="1" ht="13.5" customHeight="1" hidden="1">
      <c r="A2430" s="415"/>
      <c r="C2430" s="96"/>
      <c r="D2430" s="446" t="s">
        <v>7</v>
      </c>
      <c r="E2430" s="446"/>
      <c r="F2430" s="446"/>
      <c r="G2430" s="446"/>
      <c r="H2430" s="446"/>
      <c r="I2430" s="29"/>
      <c r="J2430" s="107"/>
      <c r="K2430" s="107">
        <f>SUM(I2430:J2430)</f>
        <v>0</v>
      </c>
      <c r="L2430" s="107"/>
    </row>
    <row r="2431" spans="1:12" s="89" customFormat="1" ht="13.5" customHeight="1" hidden="1">
      <c r="A2431" s="415"/>
      <c r="C2431" s="96"/>
      <c r="D2431" s="447" t="s">
        <v>38</v>
      </c>
      <c r="E2431" s="447"/>
      <c r="F2431" s="447"/>
      <c r="G2431" s="447"/>
      <c r="H2431" s="447"/>
      <c r="I2431" s="256">
        <f>SUM(I2432:I2437)</f>
        <v>0</v>
      </c>
      <c r="J2431" s="256">
        <f>SUM(J2432:J2437)</f>
        <v>0</v>
      </c>
      <c r="K2431" s="256">
        <f>SUM(K2432:K2437)</f>
        <v>0</v>
      </c>
      <c r="L2431" s="107"/>
    </row>
    <row r="2432" spans="1:12" s="89" customFormat="1" ht="13.5" customHeight="1" hidden="1">
      <c r="A2432" s="415"/>
      <c r="C2432" s="96"/>
      <c r="D2432" s="446" t="s">
        <v>289</v>
      </c>
      <c r="E2432" s="446"/>
      <c r="F2432" s="446"/>
      <c r="G2432" s="446"/>
      <c r="H2432" s="446"/>
      <c r="I2432" s="29"/>
      <c r="J2432" s="107"/>
      <c r="K2432" s="107">
        <f aca="true" t="shared" si="166" ref="K2432:K2437">SUM(I2432:J2432)</f>
        <v>0</v>
      </c>
      <c r="L2432" s="107"/>
    </row>
    <row r="2433" spans="1:13" s="79" customFormat="1" ht="13.5" customHeight="1" hidden="1">
      <c r="A2433" s="407"/>
      <c r="C2433" s="151"/>
      <c r="D2433" s="444" t="s">
        <v>8</v>
      </c>
      <c r="E2433" s="448"/>
      <c r="F2433" s="448"/>
      <c r="G2433" s="448"/>
      <c r="H2433" s="448"/>
      <c r="I2433" s="29"/>
      <c r="J2433" s="29"/>
      <c r="K2433" s="107">
        <f t="shared" si="166"/>
        <v>0</v>
      </c>
      <c r="L2433" s="80"/>
      <c r="M2433" s="82"/>
    </row>
    <row r="2434" spans="1:12" s="82" customFormat="1" ht="13.5" customHeight="1" hidden="1">
      <c r="A2434" s="407"/>
      <c r="C2434" s="149"/>
      <c r="D2434" s="444" t="s">
        <v>10</v>
      </c>
      <c r="E2434" s="444"/>
      <c r="F2434" s="444"/>
      <c r="G2434" s="444"/>
      <c r="H2434" s="444"/>
      <c r="I2434" s="29"/>
      <c r="J2434" s="29"/>
      <c r="K2434" s="107">
        <f t="shared" si="166"/>
        <v>0</v>
      </c>
      <c r="L2434" s="80"/>
    </row>
    <row r="2435" spans="1:12" s="82" customFormat="1" ht="13.5" customHeight="1" hidden="1">
      <c r="A2435" s="407"/>
      <c r="C2435" s="149"/>
      <c r="D2435" s="444" t="s">
        <v>9</v>
      </c>
      <c r="E2435" s="444"/>
      <c r="F2435" s="444"/>
      <c r="G2435" s="444"/>
      <c r="H2435" s="444"/>
      <c r="I2435" s="29"/>
      <c r="J2435" s="80"/>
      <c r="K2435" s="107">
        <f t="shared" si="166"/>
        <v>0</v>
      </c>
      <c r="L2435" s="80"/>
    </row>
    <row r="2436" spans="1:12" s="82" customFormat="1" ht="13.5" customHeight="1" hidden="1">
      <c r="A2436" s="407"/>
      <c r="C2436" s="149"/>
      <c r="D2436" s="444" t="s">
        <v>11</v>
      </c>
      <c r="E2436" s="444"/>
      <c r="F2436" s="444"/>
      <c r="G2436" s="444"/>
      <c r="H2436" s="444"/>
      <c r="I2436" s="29"/>
      <c r="J2436" s="80"/>
      <c r="K2436" s="107">
        <f t="shared" si="166"/>
        <v>0</v>
      </c>
      <c r="L2436" s="80"/>
    </row>
    <row r="2437" spans="1:13" s="79" customFormat="1" ht="13.5" customHeight="1" hidden="1">
      <c r="A2437" s="407"/>
      <c r="C2437" s="151"/>
      <c r="D2437" s="444" t="s">
        <v>12</v>
      </c>
      <c r="E2437" s="444"/>
      <c r="F2437" s="444"/>
      <c r="G2437" s="444"/>
      <c r="H2437" s="444"/>
      <c r="I2437" s="29"/>
      <c r="J2437" s="77"/>
      <c r="K2437" s="107">
        <f t="shared" si="166"/>
        <v>0</v>
      </c>
      <c r="L2437" s="80"/>
      <c r="M2437" s="82"/>
    </row>
    <row r="2438" spans="1:13" s="79" customFormat="1" ht="13.5" customHeight="1" hidden="1">
      <c r="A2438" s="407"/>
      <c r="C2438" s="151"/>
      <c r="D2438" s="445" t="s">
        <v>277</v>
      </c>
      <c r="E2438" s="445"/>
      <c r="F2438" s="445"/>
      <c r="G2438" s="445"/>
      <c r="H2438" s="445"/>
      <c r="I2438" s="77">
        <f>I2427-I2431</f>
        <v>0</v>
      </c>
      <c r="J2438" s="77">
        <f>J2427-J2431</f>
        <v>0</v>
      </c>
      <c r="K2438" s="77">
        <f>K2427-K2431</f>
        <v>0</v>
      </c>
      <c r="L2438" s="80"/>
      <c r="M2438" s="82"/>
    </row>
    <row r="2439" spans="1:13" s="79" customFormat="1" ht="13.5" customHeight="1" hidden="1">
      <c r="A2439" s="407"/>
      <c r="C2439" s="151"/>
      <c r="D2439" s="444" t="s">
        <v>279</v>
      </c>
      <c r="E2439" s="444"/>
      <c r="F2439" s="444"/>
      <c r="G2439" s="444"/>
      <c r="H2439" s="444"/>
      <c r="I2439" s="29">
        <f>I2440+I2441+I2442</f>
        <v>0</v>
      </c>
      <c r="J2439" s="29">
        <f>J2440+J2441+J2442</f>
        <v>0</v>
      </c>
      <c r="K2439" s="29">
        <f>K2440+K2441+K2442</f>
        <v>0</v>
      </c>
      <c r="L2439" s="80"/>
      <c r="M2439" s="82"/>
    </row>
    <row r="2440" spans="1:13" s="79" customFormat="1" ht="13.5" customHeight="1" hidden="1">
      <c r="A2440" s="407"/>
      <c r="C2440" s="151"/>
      <c r="D2440" s="444" t="s">
        <v>278</v>
      </c>
      <c r="E2440" s="444"/>
      <c r="F2440" s="444"/>
      <c r="G2440" s="444"/>
      <c r="H2440" s="444"/>
      <c r="I2440" s="29"/>
      <c r="J2440" s="77"/>
      <c r="K2440" s="80">
        <f>SUM(I2440:J2440)</f>
        <v>0</v>
      </c>
      <c r="L2440" s="80"/>
      <c r="M2440" s="82"/>
    </row>
    <row r="2441" spans="1:13" s="79" customFormat="1" ht="13.5" customHeight="1" hidden="1">
      <c r="A2441" s="407"/>
      <c r="C2441" s="151"/>
      <c r="D2441" s="444" t="s">
        <v>280</v>
      </c>
      <c r="E2441" s="444"/>
      <c r="F2441" s="444"/>
      <c r="G2441" s="444"/>
      <c r="H2441" s="444"/>
      <c r="I2441" s="29"/>
      <c r="J2441" s="77"/>
      <c r="K2441" s="80">
        <f>SUM(I2441:J2441)</f>
        <v>0</v>
      </c>
      <c r="L2441" s="80"/>
      <c r="M2441" s="82"/>
    </row>
    <row r="2442" spans="1:13" s="79" customFormat="1" ht="13.5" customHeight="1" hidden="1">
      <c r="A2442" s="407"/>
      <c r="C2442" s="151"/>
      <c r="D2442" s="444" t="s">
        <v>281</v>
      </c>
      <c r="E2442" s="444"/>
      <c r="F2442" s="444"/>
      <c r="G2442" s="444"/>
      <c r="H2442" s="444"/>
      <c r="I2442" s="29"/>
      <c r="J2442" s="77"/>
      <c r="K2442" s="80">
        <f>SUM(I2442:J2442)</f>
        <v>0</v>
      </c>
      <c r="L2442" s="80"/>
      <c r="M2442" s="82"/>
    </row>
    <row r="2443" spans="1:13" s="79" customFormat="1" ht="8.25" customHeight="1" hidden="1">
      <c r="A2443" s="407"/>
      <c r="C2443" s="151"/>
      <c r="D2443" s="85"/>
      <c r="E2443" s="85"/>
      <c r="F2443" s="85"/>
      <c r="G2443" s="85"/>
      <c r="H2443" s="85"/>
      <c r="I2443" s="29"/>
      <c r="J2443" s="77"/>
      <c r="K2443" s="77"/>
      <c r="L2443" s="80"/>
      <c r="M2443" s="82"/>
    </row>
    <row r="2444" spans="1:12" s="95" customFormat="1" ht="13.5" customHeight="1" hidden="1">
      <c r="A2444" s="407"/>
      <c r="C2444" s="135" t="s">
        <v>110</v>
      </c>
      <c r="D2444" s="434" t="s">
        <v>408</v>
      </c>
      <c r="E2444" s="434"/>
      <c r="F2444" s="434"/>
      <c r="G2444" s="434"/>
      <c r="H2444" s="434"/>
      <c r="I2444" s="129"/>
      <c r="J2444" s="127"/>
      <c r="K2444" s="127"/>
      <c r="L2444" s="127"/>
    </row>
    <row r="2445" spans="1:12" s="82" customFormat="1" ht="13.5" customHeight="1" hidden="1">
      <c r="A2445" s="407"/>
      <c r="C2445" s="96"/>
      <c r="D2445" s="447" t="s">
        <v>37</v>
      </c>
      <c r="E2445" s="447"/>
      <c r="F2445" s="447"/>
      <c r="G2445" s="447"/>
      <c r="H2445" s="447"/>
      <c r="I2445" s="77">
        <f>SUM(I2446:I2448)</f>
        <v>0</v>
      </c>
      <c r="J2445" s="77">
        <f>SUM(J2446:J2448)</f>
        <v>0</v>
      </c>
      <c r="K2445" s="77">
        <f>SUM(K2446:K2448)</f>
        <v>0</v>
      </c>
      <c r="L2445" s="80"/>
    </row>
    <row r="2446" spans="1:12" s="82" customFormat="1" ht="13.5" customHeight="1" hidden="1">
      <c r="A2446" s="407"/>
      <c r="C2446" s="96"/>
      <c r="D2446" s="446" t="s">
        <v>5</v>
      </c>
      <c r="E2446" s="446"/>
      <c r="F2446" s="446"/>
      <c r="G2446" s="446"/>
      <c r="H2446" s="446"/>
      <c r="I2446" s="29"/>
      <c r="J2446" s="80"/>
      <c r="K2446" s="80">
        <f>SUM(I2446:J2446)</f>
        <v>0</v>
      </c>
      <c r="L2446" s="80"/>
    </row>
    <row r="2447" spans="1:12" s="82" customFormat="1" ht="13.5" customHeight="1" hidden="1">
      <c r="A2447" s="407"/>
      <c r="C2447" s="96"/>
      <c r="D2447" s="446" t="s">
        <v>6</v>
      </c>
      <c r="E2447" s="446"/>
      <c r="F2447" s="446"/>
      <c r="G2447" s="446"/>
      <c r="H2447" s="446"/>
      <c r="I2447" s="29"/>
      <c r="J2447" s="80"/>
      <c r="K2447" s="80">
        <f>SUM(I2447:J2447)</f>
        <v>0</v>
      </c>
      <c r="L2447" s="80"/>
    </row>
    <row r="2448" spans="1:12" s="82" customFormat="1" ht="13.5" customHeight="1" hidden="1">
      <c r="A2448" s="407"/>
      <c r="C2448" s="96"/>
      <c r="D2448" s="446" t="s">
        <v>7</v>
      </c>
      <c r="E2448" s="446"/>
      <c r="F2448" s="446"/>
      <c r="G2448" s="446"/>
      <c r="H2448" s="446"/>
      <c r="I2448" s="29"/>
      <c r="J2448" s="80"/>
      <c r="K2448" s="80">
        <f>SUM(I2448:J2448)</f>
        <v>0</v>
      </c>
      <c r="L2448" s="80"/>
    </row>
    <row r="2449" spans="1:12" s="82" customFormat="1" ht="13.5" customHeight="1" hidden="1">
      <c r="A2449" s="407"/>
      <c r="C2449" s="96"/>
      <c r="D2449" s="447" t="s">
        <v>38</v>
      </c>
      <c r="E2449" s="447"/>
      <c r="F2449" s="447"/>
      <c r="G2449" s="447"/>
      <c r="H2449" s="447"/>
      <c r="I2449" s="256">
        <f>SUM(I2450:I2455)</f>
        <v>0</v>
      </c>
      <c r="J2449" s="256">
        <f>SUM(J2450:J2455)</f>
        <v>0</v>
      </c>
      <c r="K2449" s="256">
        <f>SUM(K2450:K2455)</f>
        <v>0</v>
      </c>
      <c r="L2449" s="80"/>
    </row>
    <row r="2450" spans="1:12" s="82" customFormat="1" ht="13.5" customHeight="1" hidden="1">
      <c r="A2450" s="407"/>
      <c r="C2450" s="96"/>
      <c r="D2450" s="446" t="s">
        <v>289</v>
      </c>
      <c r="E2450" s="446"/>
      <c r="F2450" s="446"/>
      <c r="G2450" s="446"/>
      <c r="H2450" s="446"/>
      <c r="I2450" s="29"/>
      <c r="J2450" s="80"/>
      <c r="K2450" s="80">
        <f aca="true" t="shared" si="167" ref="K2450:K2455">SUM(I2450:J2450)</f>
        <v>0</v>
      </c>
      <c r="L2450" s="80"/>
    </row>
    <row r="2451" spans="1:12" s="82" customFormat="1" ht="13.5" customHeight="1" hidden="1">
      <c r="A2451" s="407"/>
      <c r="C2451" s="96"/>
      <c r="D2451" s="444" t="s">
        <v>8</v>
      </c>
      <c r="E2451" s="448"/>
      <c r="F2451" s="448"/>
      <c r="G2451" s="448"/>
      <c r="H2451" s="448"/>
      <c r="I2451" s="29"/>
      <c r="J2451" s="80"/>
      <c r="K2451" s="80">
        <f t="shared" si="167"/>
        <v>0</v>
      </c>
      <c r="L2451" s="80"/>
    </row>
    <row r="2452" spans="1:12" s="82" customFormat="1" ht="13.5" customHeight="1" hidden="1">
      <c r="A2452" s="407"/>
      <c r="C2452" s="96"/>
      <c r="D2452" s="444" t="s">
        <v>10</v>
      </c>
      <c r="E2452" s="444"/>
      <c r="F2452" s="444"/>
      <c r="G2452" s="444"/>
      <c r="H2452" s="444"/>
      <c r="I2452" s="29"/>
      <c r="J2452" s="80"/>
      <c r="K2452" s="80">
        <f t="shared" si="167"/>
        <v>0</v>
      </c>
      <c r="L2452" s="80"/>
    </row>
    <row r="2453" spans="1:12" s="82" customFormat="1" ht="13.5" customHeight="1" hidden="1">
      <c r="A2453" s="407"/>
      <c r="C2453" s="96"/>
      <c r="D2453" s="444" t="s">
        <v>9</v>
      </c>
      <c r="E2453" s="444"/>
      <c r="F2453" s="444"/>
      <c r="G2453" s="444"/>
      <c r="H2453" s="444"/>
      <c r="I2453" s="29"/>
      <c r="J2453" s="80"/>
      <c r="K2453" s="80">
        <f t="shared" si="167"/>
        <v>0</v>
      </c>
      <c r="L2453" s="80"/>
    </row>
    <row r="2454" spans="1:12" s="82" customFormat="1" ht="13.5" customHeight="1" hidden="1">
      <c r="A2454" s="407"/>
      <c r="C2454" s="96"/>
      <c r="D2454" s="444" t="s">
        <v>11</v>
      </c>
      <c r="E2454" s="444"/>
      <c r="F2454" s="444"/>
      <c r="G2454" s="444"/>
      <c r="H2454" s="444"/>
      <c r="I2454" s="29"/>
      <c r="J2454" s="80"/>
      <c r="K2454" s="80">
        <f t="shared" si="167"/>
        <v>0</v>
      </c>
      <c r="L2454" s="80"/>
    </row>
    <row r="2455" spans="1:12" s="82" customFormat="1" ht="13.5" customHeight="1" hidden="1">
      <c r="A2455" s="407"/>
      <c r="C2455" s="96"/>
      <c r="D2455" s="444" t="s">
        <v>12</v>
      </c>
      <c r="E2455" s="444"/>
      <c r="F2455" s="444"/>
      <c r="G2455" s="444"/>
      <c r="H2455" s="444"/>
      <c r="I2455" s="29"/>
      <c r="J2455" s="80"/>
      <c r="K2455" s="80">
        <f t="shared" si="167"/>
        <v>0</v>
      </c>
      <c r="L2455" s="80"/>
    </row>
    <row r="2456" spans="1:12" s="82" customFormat="1" ht="13.5" customHeight="1" hidden="1">
      <c r="A2456" s="407"/>
      <c r="C2456" s="96"/>
      <c r="D2456" s="445" t="s">
        <v>277</v>
      </c>
      <c r="E2456" s="445"/>
      <c r="F2456" s="445"/>
      <c r="G2456" s="445"/>
      <c r="H2456" s="445"/>
      <c r="I2456" s="77">
        <f>I2445-I2449</f>
        <v>0</v>
      </c>
      <c r="J2456" s="77">
        <f>J2445-J2449</f>
        <v>0</v>
      </c>
      <c r="K2456" s="77">
        <f>K2445-K2449</f>
        <v>0</v>
      </c>
      <c r="L2456" s="80"/>
    </row>
    <row r="2457" spans="1:12" s="82" customFormat="1" ht="13.5" customHeight="1" hidden="1">
      <c r="A2457" s="407"/>
      <c r="C2457" s="96"/>
      <c r="D2457" s="444" t="s">
        <v>279</v>
      </c>
      <c r="E2457" s="444"/>
      <c r="F2457" s="444"/>
      <c r="G2457" s="444"/>
      <c r="H2457" s="444"/>
      <c r="I2457" s="29">
        <f>I2458+I2459+I2460</f>
        <v>0</v>
      </c>
      <c r="J2457" s="29">
        <f>J2458+J2459+J2460</f>
        <v>0</v>
      </c>
      <c r="K2457" s="29">
        <f>K2458+K2459+K2460</f>
        <v>0</v>
      </c>
      <c r="L2457" s="80"/>
    </row>
    <row r="2458" spans="1:12" s="82" customFormat="1" ht="13.5" customHeight="1" hidden="1">
      <c r="A2458" s="407"/>
      <c r="C2458" s="96"/>
      <c r="D2458" s="444" t="s">
        <v>278</v>
      </c>
      <c r="E2458" s="444"/>
      <c r="F2458" s="444"/>
      <c r="G2458" s="444"/>
      <c r="H2458" s="444"/>
      <c r="I2458" s="29"/>
      <c r="J2458" s="77"/>
      <c r="K2458" s="80">
        <f>SUM(I2458:J2458)</f>
        <v>0</v>
      </c>
      <c r="L2458" s="80"/>
    </row>
    <row r="2459" spans="1:12" s="82" customFormat="1" ht="13.5" customHeight="1" hidden="1">
      <c r="A2459" s="407"/>
      <c r="C2459" s="96"/>
      <c r="D2459" s="444" t="s">
        <v>280</v>
      </c>
      <c r="E2459" s="444"/>
      <c r="F2459" s="444"/>
      <c r="G2459" s="444"/>
      <c r="H2459" s="444"/>
      <c r="I2459" s="29"/>
      <c r="J2459" s="77"/>
      <c r="K2459" s="80">
        <f>SUM(I2459:J2459)</f>
        <v>0</v>
      </c>
      <c r="L2459" s="80"/>
    </row>
    <row r="2460" spans="1:12" s="82" customFormat="1" ht="13.5" customHeight="1" hidden="1">
      <c r="A2460" s="407"/>
      <c r="C2460" s="96"/>
      <c r="D2460" s="444" t="s">
        <v>281</v>
      </c>
      <c r="E2460" s="444"/>
      <c r="F2460" s="444"/>
      <c r="G2460" s="444"/>
      <c r="H2460" s="444"/>
      <c r="I2460" s="29"/>
      <c r="J2460" s="77"/>
      <c r="K2460" s="80">
        <f>SUM(I2460:J2460)</f>
        <v>0</v>
      </c>
      <c r="L2460" s="80"/>
    </row>
    <row r="2461" spans="1:12" s="82" customFormat="1" ht="8.25" customHeight="1" hidden="1">
      <c r="A2461" s="407"/>
      <c r="C2461" s="96"/>
      <c r="D2461" s="85"/>
      <c r="E2461" s="85"/>
      <c r="F2461" s="85"/>
      <c r="G2461" s="85"/>
      <c r="H2461" s="85"/>
      <c r="I2461" s="29"/>
      <c r="J2461" s="80"/>
      <c r="K2461" s="80"/>
      <c r="L2461" s="80"/>
    </row>
    <row r="2462" spans="1:12" s="95" customFormat="1" ht="13.5" customHeight="1" hidden="1">
      <c r="A2462" s="407"/>
      <c r="C2462" s="135" t="s">
        <v>110</v>
      </c>
      <c r="D2462" s="434" t="s">
        <v>411</v>
      </c>
      <c r="E2462" s="434"/>
      <c r="F2462" s="434"/>
      <c r="G2462" s="434"/>
      <c r="H2462" s="434"/>
      <c r="I2462" s="129"/>
      <c r="J2462" s="127"/>
      <c r="K2462" s="127"/>
      <c r="L2462" s="127"/>
    </row>
    <row r="2463" spans="1:12" s="82" customFormat="1" ht="13.5" customHeight="1" hidden="1">
      <c r="A2463" s="407"/>
      <c r="C2463" s="96"/>
      <c r="D2463" s="447" t="s">
        <v>37</v>
      </c>
      <c r="E2463" s="447"/>
      <c r="F2463" s="447"/>
      <c r="G2463" s="447"/>
      <c r="H2463" s="447"/>
      <c r="I2463" s="77">
        <f>SUM(I2464:I2466)</f>
        <v>0</v>
      </c>
      <c r="J2463" s="77">
        <f>SUM(J2464:J2466)</f>
        <v>0</v>
      </c>
      <c r="K2463" s="77">
        <f>SUM(K2464:K2466)</f>
        <v>0</v>
      </c>
      <c r="L2463" s="80"/>
    </row>
    <row r="2464" spans="1:12" s="82" customFormat="1" ht="13.5" customHeight="1" hidden="1">
      <c r="A2464" s="407"/>
      <c r="C2464" s="96"/>
      <c r="D2464" s="446" t="s">
        <v>5</v>
      </c>
      <c r="E2464" s="446"/>
      <c r="F2464" s="446"/>
      <c r="G2464" s="446"/>
      <c r="H2464" s="446"/>
      <c r="I2464" s="29"/>
      <c r="J2464" s="80"/>
      <c r="K2464" s="80">
        <f>SUM(I2464:J2464)</f>
        <v>0</v>
      </c>
      <c r="L2464" s="80"/>
    </row>
    <row r="2465" spans="1:12" s="82" customFormat="1" ht="13.5" customHeight="1" hidden="1">
      <c r="A2465" s="407"/>
      <c r="C2465" s="96"/>
      <c r="D2465" s="446" t="s">
        <v>6</v>
      </c>
      <c r="E2465" s="446"/>
      <c r="F2465" s="446"/>
      <c r="G2465" s="446"/>
      <c r="H2465" s="446"/>
      <c r="I2465" s="29"/>
      <c r="J2465" s="80"/>
      <c r="K2465" s="80">
        <f>SUM(I2465:J2465)</f>
        <v>0</v>
      </c>
      <c r="L2465" s="80"/>
    </row>
    <row r="2466" spans="1:12" s="82" customFormat="1" ht="13.5" customHeight="1" hidden="1">
      <c r="A2466" s="407"/>
      <c r="C2466" s="96"/>
      <c r="D2466" s="446" t="s">
        <v>7</v>
      </c>
      <c r="E2466" s="446"/>
      <c r="F2466" s="446"/>
      <c r="G2466" s="446"/>
      <c r="H2466" s="446"/>
      <c r="I2466" s="29"/>
      <c r="J2466" s="80"/>
      <c r="K2466" s="80">
        <f>SUM(I2466:J2466)</f>
        <v>0</v>
      </c>
      <c r="L2466" s="80"/>
    </row>
    <row r="2467" spans="1:12" s="82" customFormat="1" ht="13.5" customHeight="1" hidden="1">
      <c r="A2467" s="407"/>
      <c r="C2467" s="96"/>
      <c r="D2467" s="447" t="s">
        <v>38</v>
      </c>
      <c r="E2467" s="447"/>
      <c r="F2467" s="447"/>
      <c r="G2467" s="447"/>
      <c r="H2467" s="447"/>
      <c r="I2467" s="256">
        <f>I2468+I2469+I2470+I2471+I2472</f>
        <v>0</v>
      </c>
      <c r="J2467" s="256">
        <f>J2468+J2469+J2470+J2471+J2472</f>
        <v>0</v>
      </c>
      <c r="K2467" s="256">
        <f>K2468+K2469+K2470+K2471+K2472</f>
        <v>0</v>
      </c>
      <c r="L2467" s="80"/>
    </row>
    <row r="2468" spans="1:12" s="82" customFormat="1" ht="13.5" customHeight="1" hidden="1">
      <c r="A2468" s="407"/>
      <c r="C2468" s="96"/>
      <c r="D2468" s="446" t="s">
        <v>289</v>
      </c>
      <c r="E2468" s="446"/>
      <c r="F2468" s="446"/>
      <c r="G2468" s="446"/>
      <c r="H2468" s="446"/>
      <c r="I2468" s="29"/>
      <c r="J2468" s="80"/>
      <c r="K2468" s="80">
        <f aca="true" t="shared" si="168" ref="K2468:K2473">SUM(I2468:J2468)</f>
        <v>0</v>
      </c>
      <c r="L2468" s="80"/>
    </row>
    <row r="2469" spans="1:12" s="82" customFormat="1" ht="13.5" customHeight="1" hidden="1">
      <c r="A2469" s="407"/>
      <c r="C2469" s="151"/>
      <c r="D2469" s="444" t="s">
        <v>8</v>
      </c>
      <c r="E2469" s="448"/>
      <c r="F2469" s="448"/>
      <c r="G2469" s="448"/>
      <c r="H2469" s="448"/>
      <c r="I2469" s="29"/>
      <c r="J2469" s="80"/>
      <c r="K2469" s="80">
        <f t="shared" si="168"/>
        <v>0</v>
      </c>
      <c r="L2469" s="80"/>
    </row>
    <row r="2470" spans="1:12" s="82" customFormat="1" ht="13.5" customHeight="1" hidden="1">
      <c r="A2470" s="407"/>
      <c r="C2470" s="149"/>
      <c r="D2470" s="444" t="s">
        <v>10</v>
      </c>
      <c r="E2470" s="444"/>
      <c r="F2470" s="444"/>
      <c r="G2470" s="444"/>
      <c r="H2470" s="444"/>
      <c r="I2470" s="29"/>
      <c r="J2470" s="80"/>
      <c r="K2470" s="80">
        <f t="shared" si="168"/>
        <v>0</v>
      </c>
      <c r="L2470" s="80"/>
    </row>
    <row r="2471" spans="1:12" s="82" customFormat="1" ht="13.5" customHeight="1" hidden="1">
      <c r="A2471" s="407"/>
      <c r="C2471" s="149"/>
      <c r="D2471" s="444" t="s">
        <v>9</v>
      </c>
      <c r="E2471" s="444"/>
      <c r="F2471" s="444"/>
      <c r="G2471" s="444"/>
      <c r="H2471" s="444"/>
      <c r="I2471" s="29"/>
      <c r="J2471" s="80"/>
      <c r="K2471" s="80">
        <f t="shared" si="168"/>
        <v>0</v>
      </c>
      <c r="L2471" s="80"/>
    </row>
    <row r="2472" spans="1:12" s="82" customFormat="1" ht="13.5" customHeight="1" hidden="1">
      <c r="A2472" s="407"/>
      <c r="C2472" s="149"/>
      <c r="D2472" s="444" t="s">
        <v>11</v>
      </c>
      <c r="E2472" s="444"/>
      <c r="F2472" s="444"/>
      <c r="G2472" s="444"/>
      <c r="H2472" s="444"/>
      <c r="I2472" s="29"/>
      <c r="J2472" s="80"/>
      <c r="K2472" s="80">
        <f t="shared" si="168"/>
        <v>0</v>
      </c>
      <c r="L2472" s="80"/>
    </row>
    <row r="2473" spans="1:12" s="82" customFormat="1" ht="13.5" customHeight="1" hidden="1">
      <c r="A2473" s="407"/>
      <c r="C2473" s="96"/>
      <c r="D2473" s="444" t="s">
        <v>12</v>
      </c>
      <c r="E2473" s="444"/>
      <c r="F2473" s="444"/>
      <c r="G2473" s="444"/>
      <c r="H2473" s="444"/>
      <c r="I2473" s="29"/>
      <c r="J2473" s="80"/>
      <c r="K2473" s="80">
        <f t="shared" si="168"/>
        <v>0</v>
      </c>
      <c r="L2473" s="80"/>
    </row>
    <row r="2474" spans="1:12" s="82" customFormat="1" ht="13.5" customHeight="1" hidden="1">
      <c r="A2474" s="407"/>
      <c r="C2474" s="96"/>
      <c r="D2474" s="445" t="s">
        <v>277</v>
      </c>
      <c r="E2474" s="445"/>
      <c r="F2474" s="445"/>
      <c r="G2474" s="445"/>
      <c r="H2474" s="445"/>
      <c r="I2474" s="77">
        <f>I2463-I2467</f>
        <v>0</v>
      </c>
      <c r="J2474" s="77">
        <f>J2463-J2467</f>
        <v>0</v>
      </c>
      <c r="K2474" s="77">
        <f>K2463-K2467</f>
        <v>0</v>
      </c>
      <c r="L2474" s="80"/>
    </row>
    <row r="2475" spans="1:12" s="82" customFormat="1" ht="13.5" customHeight="1" hidden="1">
      <c r="A2475" s="407"/>
      <c r="C2475" s="96"/>
      <c r="D2475" s="444" t="s">
        <v>279</v>
      </c>
      <c r="E2475" s="444"/>
      <c r="F2475" s="444"/>
      <c r="G2475" s="444"/>
      <c r="H2475" s="444"/>
      <c r="I2475" s="29">
        <f>I2476+I2477+I2478</f>
        <v>0</v>
      </c>
      <c r="J2475" s="29">
        <f>J2476+J2477+J2478</f>
        <v>0</v>
      </c>
      <c r="K2475" s="29">
        <f>K2476+K2477+K2478</f>
        <v>0</v>
      </c>
      <c r="L2475" s="80"/>
    </row>
    <row r="2476" spans="1:12" s="82" customFormat="1" ht="13.5" customHeight="1" hidden="1">
      <c r="A2476" s="407"/>
      <c r="C2476" s="96"/>
      <c r="D2476" s="444" t="s">
        <v>278</v>
      </c>
      <c r="E2476" s="444"/>
      <c r="F2476" s="444"/>
      <c r="G2476" s="444"/>
      <c r="H2476" s="444"/>
      <c r="I2476" s="29"/>
      <c r="J2476" s="77"/>
      <c r="K2476" s="80">
        <f>SUM(I2476:J2476)</f>
        <v>0</v>
      </c>
      <c r="L2476" s="80"/>
    </row>
    <row r="2477" spans="1:12" s="82" customFormat="1" ht="13.5" customHeight="1" hidden="1">
      <c r="A2477" s="407"/>
      <c r="C2477" s="96"/>
      <c r="D2477" s="444" t="s">
        <v>280</v>
      </c>
      <c r="E2477" s="444"/>
      <c r="F2477" s="444"/>
      <c r="G2477" s="444"/>
      <c r="H2477" s="444"/>
      <c r="I2477" s="29"/>
      <c r="J2477" s="77"/>
      <c r="K2477" s="80">
        <f>SUM(I2477:J2477)</f>
        <v>0</v>
      </c>
      <c r="L2477" s="80"/>
    </row>
    <row r="2478" spans="1:12" s="82" customFormat="1" ht="13.5" customHeight="1" hidden="1">
      <c r="A2478" s="407"/>
      <c r="C2478" s="96"/>
      <c r="D2478" s="444" t="s">
        <v>281</v>
      </c>
      <c r="E2478" s="444"/>
      <c r="F2478" s="444"/>
      <c r="G2478" s="444"/>
      <c r="H2478" s="444"/>
      <c r="I2478" s="29"/>
      <c r="J2478" s="77"/>
      <c r="K2478" s="80">
        <f>SUM(I2478:J2478)</f>
        <v>0</v>
      </c>
      <c r="L2478" s="80"/>
    </row>
    <row r="2479" spans="1:12" s="82" customFormat="1" ht="4.5" customHeight="1">
      <c r="A2479" s="407"/>
      <c r="C2479" s="149"/>
      <c r="D2479" s="81"/>
      <c r="E2479" s="81"/>
      <c r="F2479" s="81"/>
      <c r="G2479" s="81"/>
      <c r="H2479" s="81"/>
      <c r="I2479" s="29"/>
      <c r="J2479" s="80"/>
      <c r="K2479" s="80"/>
      <c r="L2479" s="80"/>
    </row>
    <row r="2480" spans="1:13" s="15" customFormat="1" ht="12.75" customHeight="1">
      <c r="A2480" s="407"/>
      <c r="C2480" s="166" t="s">
        <v>112</v>
      </c>
      <c r="D2480" s="439" t="s">
        <v>119</v>
      </c>
      <c r="E2480" s="439"/>
      <c r="F2480" s="439"/>
      <c r="G2480" s="439"/>
      <c r="H2480" s="439"/>
      <c r="I2480" s="17"/>
      <c r="J2480" s="126"/>
      <c r="K2480" s="126"/>
      <c r="L2480" s="127"/>
      <c r="M2480" s="95"/>
    </row>
    <row r="2481" spans="1:13" s="79" customFormat="1" ht="13.5" customHeight="1">
      <c r="A2481" s="407"/>
      <c r="C2481" s="151"/>
      <c r="D2481" s="447" t="s">
        <v>37</v>
      </c>
      <c r="E2481" s="447"/>
      <c r="F2481" s="447"/>
      <c r="G2481" s="447"/>
      <c r="H2481" s="447"/>
      <c r="I2481" s="77">
        <f>SUM(I2482:I2484)</f>
        <v>541598</v>
      </c>
      <c r="J2481" s="77">
        <f>SUM(J2482:J2484)</f>
        <v>18463</v>
      </c>
      <c r="K2481" s="77">
        <f>SUM(K2482:K2484)</f>
        <v>560061</v>
      </c>
      <c r="L2481" s="80"/>
      <c r="M2481" s="82"/>
    </row>
    <row r="2482" spans="1:13" s="79" customFormat="1" ht="11.25" customHeight="1">
      <c r="A2482" s="407"/>
      <c r="C2482" s="151"/>
      <c r="D2482" s="446" t="s">
        <v>5</v>
      </c>
      <c r="E2482" s="446"/>
      <c r="F2482" s="446"/>
      <c r="G2482" s="446"/>
      <c r="H2482" s="446"/>
      <c r="I2482" s="29">
        <v>538984</v>
      </c>
      <c r="J2482" s="29">
        <f>18463</f>
        <v>18463</v>
      </c>
      <c r="K2482" s="29">
        <f>SUM(I2482:J2482)</f>
        <v>557447</v>
      </c>
      <c r="L2482" s="80"/>
      <c r="M2482" s="82"/>
    </row>
    <row r="2483" spans="1:13" s="79" customFormat="1" ht="13.5" customHeight="1">
      <c r="A2483" s="407"/>
      <c r="C2483" s="151"/>
      <c r="D2483" s="446" t="s">
        <v>6</v>
      </c>
      <c r="E2483" s="446"/>
      <c r="F2483" s="446"/>
      <c r="G2483" s="446"/>
      <c r="H2483" s="446"/>
      <c r="I2483" s="29">
        <v>2614</v>
      </c>
      <c r="J2483" s="29"/>
      <c r="K2483" s="29">
        <f>SUM(I2483:J2483)</f>
        <v>2614</v>
      </c>
      <c r="L2483" s="80"/>
      <c r="M2483" s="82"/>
    </row>
    <row r="2484" spans="1:13" s="79" customFormat="1" ht="13.5" customHeight="1" hidden="1">
      <c r="A2484" s="407"/>
      <c r="C2484" s="151"/>
      <c r="D2484" s="446" t="s">
        <v>7</v>
      </c>
      <c r="E2484" s="446"/>
      <c r="F2484" s="446"/>
      <c r="G2484" s="446"/>
      <c r="H2484" s="446"/>
      <c r="I2484" s="29"/>
      <c r="J2484" s="29"/>
      <c r="K2484" s="29">
        <f>SUM(I2484:J2484)</f>
        <v>0</v>
      </c>
      <c r="L2484" s="80"/>
      <c r="M2484" s="82"/>
    </row>
    <row r="2485" spans="1:13" s="79" customFormat="1" ht="13.5" customHeight="1">
      <c r="A2485" s="407"/>
      <c r="C2485" s="151"/>
      <c r="D2485" s="447" t="s">
        <v>38</v>
      </c>
      <c r="E2485" s="447"/>
      <c r="F2485" s="447"/>
      <c r="G2485" s="447"/>
      <c r="H2485" s="447"/>
      <c r="I2485" s="254">
        <f>SUM(I2486:I2491)</f>
        <v>530526</v>
      </c>
      <c r="J2485" s="254">
        <f>SUM(J2486:J2491)</f>
        <v>18463</v>
      </c>
      <c r="K2485" s="254">
        <f>SUM(K2486:K2491)</f>
        <v>548989</v>
      </c>
      <c r="L2485" s="80"/>
      <c r="M2485" s="82"/>
    </row>
    <row r="2486" spans="1:13" s="79" customFormat="1" ht="11.25" customHeight="1">
      <c r="A2486" s="407"/>
      <c r="C2486" s="151"/>
      <c r="D2486" s="446" t="s">
        <v>289</v>
      </c>
      <c r="E2486" s="446"/>
      <c r="F2486" s="446"/>
      <c r="G2486" s="446"/>
      <c r="H2486" s="446"/>
      <c r="I2486" s="29">
        <f>366167</f>
        <v>366167</v>
      </c>
      <c r="J2486" s="29">
        <f>18463</f>
        <v>18463</v>
      </c>
      <c r="K2486" s="29">
        <f aca="true" t="shared" si="169" ref="K2486:K2491">SUM(I2486:J2486)</f>
        <v>384630</v>
      </c>
      <c r="L2486" s="80"/>
      <c r="M2486" s="82"/>
    </row>
    <row r="2487" spans="1:12" s="82" customFormat="1" ht="12" customHeight="1">
      <c r="A2487" s="407"/>
      <c r="C2487" s="149"/>
      <c r="D2487" s="444" t="s">
        <v>8</v>
      </c>
      <c r="E2487" s="448"/>
      <c r="F2487" s="448"/>
      <c r="G2487" s="448"/>
      <c r="H2487" s="448"/>
      <c r="I2487" s="29">
        <f>145645+826+2500</f>
        <v>148971</v>
      </c>
      <c r="J2487" s="29"/>
      <c r="K2487" s="29">
        <f t="shared" si="169"/>
        <v>148971</v>
      </c>
      <c r="L2487" s="80"/>
    </row>
    <row r="2488" spans="1:13" s="79" customFormat="1" ht="13.5" customHeight="1" hidden="1">
      <c r="A2488" s="407"/>
      <c r="C2488" s="151"/>
      <c r="D2488" s="444" t="s">
        <v>10</v>
      </c>
      <c r="E2488" s="444"/>
      <c r="F2488" s="444"/>
      <c r="G2488" s="444"/>
      <c r="H2488" s="444"/>
      <c r="I2488" s="29"/>
      <c r="J2488" s="29"/>
      <c r="K2488" s="29">
        <f t="shared" si="169"/>
        <v>0</v>
      </c>
      <c r="L2488" s="80"/>
      <c r="M2488" s="82"/>
    </row>
    <row r="2489" spans="1:12" s="82" customFormat="1" ht="13.5" customHeight="1">
      <c r="A2489" s="407"/>
      <c r="C2489" s="149"/>
      <c r="D2489" s="444" t="s">
        <v>9</v>
      </c>
      <c r="E2489" s="444"/>
      <c r="F2489" s="444"/>
      <c r="G2489" s="444"/>
      <c r="H2489" s="444"/>
      <c r="I2489" s="29">
        <v>464</v>
      </c>
      <c r="J2489" s="29"/>
      <c r="K2489" s="29">
        <f t="shared" si="169"/>
        <v>464</v>
      </c>
      <c r="L2489" s="80"/>
    </row>
    <row r="2490" spans="1:12" s="33" customFormat="1" ht="12.75" customHeight="1">
      <c r="A2490" s="410"/>
      <c r="C2490" s="152"/>
      <c r="D2490" s="444" t="s">
        <v>11</v>
      </c>
      <c r="E2490" s="444"/>
      <c r="F2490" s="444"/>
      <c r="G2490" s="444"/>
      <c r="H2490" s="444"/>
      <c r="I2490" s="29">
        <f>10824+6600-2500</f>
        <v>14924</v>
      </c>
      <c r="J2490" s="29"/>
      <c r="K2490" s="29">
        <f t="shared" si="169"/>
        <v>14924</v>
      </c>
      <c r="L2490" s="175"/>
    </row>
    <row r="2491" spans="1:12" s="82" customFormat="1" ht="13.5" customHeight="1" hidden="1">
      <c r="A2491" s="407"/>
      <c r="C2491" s="149"/>
      <c r="D2491" s="444" t="s">
        <v>12</v>
      </c>
      <c r="E2491" s="444"/>
      <c r="F2491" s="444"/>
      <c r="G2491" s="444"/>
      <c r="H2491" s="444"/>
      <c r="I2491" s="29"/>
      <c r="J2491" s="29"/>
      <c r="K2491" s="29">
        <f t="shared" si="169"/>
        <v>0</v>
      </c>
      <c r="L2491" s="80"/>
    </row>
    <row r="2492" spans="1:12" s="82" customFormat="1" ht="13.5" customHeight="1">
      <c r="A2492" s="407"/>
      <c r="C2492" s="149"/>
      <c r="D2492" s="445" t="s">
        <v>277</v>
      </c>
      <c r="E2492" s="445"/>
      <c r="F2492" s="445"/>
      <c r="G2492" s="445"/>
      <c r="H2492" s="445"/>
      <c r="I2492" s="77">
        <f>I2481-I2485</f>
        <v>11072</v>
      </c>
      <c r="J2492" s="77">
        <f>J2481-J2485</f>
        <v>0</v>
      </c>
      <c r="K2492" s="77">
        <f>K2481-K2485</f>
        <v>11072</v>
      </c>
      <c r="L2492" s="80"/>
    </row>
    <row r="2493" spans="1:12" s="82" customFormat="1" ht="13.5" customHeight="1">
      <c r="A2493" s="407"/>
      <c r="C2493" s="149"/>
      <c r="D2493" s="444" t="s">
        <v>279</v>
      </c>
      <c r="E2493" s="444"/>
      <c r="F2493" s="444"/>
      <c r="G2493" s="444"/>
      <c r="H2493" s="444"/>
      <c r="I2493" s="29">
        <f>I2494+I2495+I2496</f>
        <v>-11072</v>
      </c>
      <c r="J2493" s="29">
        <f>J2494+J2495+J2496</f>
        <v>0</v>
      </c>
      <c r="K2493" s="29">
        <f>K2494+K2495+K2496</f>
        <v>-11072</v>
      </c>
      <c r="L2493" s="80"/>
    </row>
    <row r="2494" spans="1:12" s="82" customFormat="1" ht="12.75" customHeight="1">
      <c r="A2494" s="407"/>
      <c r="C2494" s="149"/>
      <c r="D2494" s="444" t="s">
        <v>278</v>
      </c>
      <c r="E2494" s="444"/>
      <c r="F2494" s="444"/>
      <c r="G2494" s="444"/>
      <c r="H2494" s="444"/>
      <c r="I2494" s="29">
        <v>4812</v>
      </c>
      <c r="J2494" s="29"/>
      <c r="K2494" s="29">
        <f>SUM(I2494:J2494)</f>
        <v>4812</v>
      </c>
      <c r="L2494" s="80"/>
    </row>
    <row r="2495" spans="1:12" s="82" customFormat="1" ht="13.5" customHeight="1" hidden="1">
      <c r="A2495" s="407"/>
      <c r="C2495" s="149"/>
      <c r="D2495" s="444" t="s">
        <v>280</v>
      </c>
      <c r="E2495" s="444"/>
      <c r="F2495" s="444"/>
      <c r="G2495" s="444"/>
      <c r="H2495" s="444"/>
      <c r="I2495" s="29"/>
      <c r="J2495" s="29"/>
      <c r="K2495" s="29">
        <f>SUM(I2495:J2495)</f>
        <v>0</v>
      </c>
      <c r="L2495" s="80"/>
    </row>
    <row r="2496" spans="1:13" s="79" customFormat="1" ht="13.5" customHeight="1">
      <c r="A2496" s="407"/>
      <c r="C2496" s="151"/>
      <c r="D2496" s="444" t="s">
        <v>281</v>
      </c>
      <c r="E2496" s="444"/>
      <c r="F2496" s="444"/>
      <c r="G2496" s="444"/>
      <c r="H2496" s="444"/>
      <c r="I2496" s="29">
        <v>-15884</v>
      </c>
      <c r="J2496" s="29"/>
      <c r="K2496" s="29">
        <f>SUM(I2496:J2496)</f>
        <v>-15884</v>
      </c>
      <c r="L2496" s="80"/>
      <c r="M2496" s="82"/>
    </row>
    <row r="2497" spans="1:13" s="79" customFormat="1" ht="6" customHeight="1">
      <c r="A2497" s="407"/>
      <c r="C2497" s="151"/>
      <c r="D2497" s="85"/>
      <c r="E2497" s="85"/>
      <c r="F2497" s="85"/>
      <c r="G2497" s="85"/>
      <c r="H2497" s="85"/>
      <c r="I2497" s="29"/>
      <c r="J2497" s="77"/>
      <c r="K2497" s="80"/>
      <c r="L2497" s="80"/>
      <c r="M2497" s="82"/>
    </row>
    <row r="2498" spans="1:13" s="79" customFormat="1" ht="13.5" customHeight="1" hidden="1">
      <c r="A2498" s="407"/>
      <c r="C2498" s="151"/>
      <c r="D2498" s="85"/>
      <c r="E2498" s="85"/>
      <c r="F2498" s="85"/>
      <c r="G2498" s="85"/>
      <c r="H2498" s="85"/>
      <c r="I2498" s="29"/>
      <c r="J2498" s="77"/>
      <c r="K2498" s="80"/>
      <c r="L2498" s="80"/>
      <c r="M2498" s="82"/>
    </row>
    <row r="2499" spans="1:13" s="15" customFormat="1" ht="13.5" customHeight="1">
      <c r="A2499" s="407"/>
      <c r="C2499" s="166" t="s">
        <v>126</v>
      </c>
      <c r="D2499" s="439" t="s">
        <v>211</v>
      </c>
      <c r="E2499" s="439"/>
      <c r="F2499" s="439"/>
      <c r="G2499" s="439"/>
      <c r="H2499" s="439"/>
      <c r="I2499" s="17"/>
      <c r="J2499" s="126"/>
      <c r="K2499" s="126"/>
      <c r="L2499" s="127"/>
      <c r="M2499" s="95"/>
    </row>
    <row r="2500" spans="1:13" s="79" customFormat="1" ht="13.5" customHeight="1">
      <c r="A2500" s="407"/>
      <c r="C2500" s="151"/>
      <c r="D2500" s="447" t="s">
        <v>37</v>
      </c>
      <c r="E2500" s="447"/>
      <c r="F2500" s="447"/>
      <c r="G2500" s="447"/>
      <c r="H2500" s="447"/>
      <c r="I2500" s="77">
        <f>SUM(I2501:I2503)</f>
        <v>126985</v>
      </c>
      <c r="J2500" s="77">
        <f>SUM(J2501:J2503)</f>
        <v>3930</v>
      </c>
      <c r="K2500" s="77">
        <f>SUM(K2501:K2503)</f>
        <v>130915</v>
      </c>
      <c r="L2500" s="80"/>
      <c r="M2500" s="82"/>
    </row>
    <row r="2501" spans="1:13" s="79" customFormat="1" ht="13.5" customHeight="1">
      <c r="A2501" s="407"/>
      <c r="C2501" s="151"/>
      <c r="D2501" s="446" t="s">
        <v>5</v>
      </c>
      <c r="E2501" s="446"/>
      <c r="F2501" s="446"/>
      <c r="G2501" s="446"/>
      <c r="H2501" s="446"/>
      <c r="I2501" s="29">
        <v>125477</v>
      </c>
      <c r="J2501" s="80">
        <f>3930</f>
        <v>3930</v>
      </c>
      <c r="K2501" s="80">
        <f>SUM(I2501:J2501)</f>
        <v>129407</v>
      </c>
      <c r="L2501" s="80"/>
      <c r="M2501" s="82"/>
    </row>
    <row r="2502" spans="1:13" s="79" customFormat="1" ht="13.5" customHeight="1">
      <c r="A2502" s="407"/>
      <c r="C2502" s="151"/>
      <c r="D2502" s="446" t="s">
        <v>6</v>
      </c>
      <c r="E2502" s="446"/>
      <c r="F2502" s="446"/>
      <c r="G2502" s="446"/>
      <c r="H2502" s="446"/>
      <c r="I2502" s="29">
        <v>1508</v>
      </c>
      <c r="J2502" s="80"/>
      <c r="K2502" s="80">
        <f>SUM(I2502:J2502)</f>
        <v>1508</v>
      </c>
      <c r="L2502" s="80"/>
      <c r="M2502" s="82"/>
    </row>
    <row r="2503" spans="1:13" s="79" customFormat="1" ht="13.5" customHeight="1">
      <c r="A2503" s="407"/>
      <c r="C2503" s="151"/>
      <c r="D2503" s="446" t="s">
        <v>7</v>
      </c>
      <c r="E2503" s="446"/>
      <c r="F2503" s="446"/>
      <c r="G2503" s="446"/>
      <c r="H2503" s="446"/>
      <c r="I2503" s="29"/>
      <c r="J2503" s="78"/>
      <c r="K2503" s="80">
        <f>SUM(I2503:J2503)</f>
        <v>0</v>
      </c>
      <c r="L2503" s="80"/>
      <c r="M2503" s="82"/>
    </row>
    <row r="2504" spans="1:13" s="79" customFormat="1" ht="13.5" customHeight="1">
      <c r="A2504" s="407"/>
      <c r="C2504" s="151"/>
      <c r="D2504" s="447" t="s">
        <v>38</v>
      </c>
      <c r="E2504" s="447"/>
      <c r="F2504" s="447"/>
      <c r="G2504" s="447"/>
      <c r="H2504" s="447"/>
      <c r="I2504" s="254">
        <f>SUM(I2505:I2510)</f>
        <v>129117</v>
      </c>
      <c r="J2504" s="254">
        <f>SUM(J2505:J2510)</f>
        <v>3930</v>
      </c>
      <c r="K2504" s="254">
        <f>SUM(K2505:K2510)</f>
        <v>133047</v>
      </c>
      <c r="L2504" s="80"/>
      <c r="M2504" s="82"/>
    </row>
    <row r="2505" spans="1:13" s="79" customFormat="1" ht="13.5" customHeight="1">
      <c r="A2505" s="407"/>
      <c r="C2505" s="151"/>
      <c r="D2505" s="446" t="s">
        <v>289</v>
      </c>
      <c r="E2505" s="446"/>
      <c r="F2505" s="446"/>
      <c r="G2505" s="446"/>
      <c r="H2505" s="446"/>
      <c r="I2505" s="29">
        <f>83795</f>
        <v>83795</v>
      </c>
      <c r="J2505" s="80">
        <f>3930</f>
        <v>3930</v>
      </c>
      <c r="K2505" s="80">
        <f aca="true" t="shared" si="170" ref="K2505:K2510">SUM(I2505:J2505)</f>
        <v>87725</v>
      </c>
      <c r="L2505" s="80"/>
      <c r="M2505" s="82"/>
    </row>
    <row r="2506" spans="1:13" s="79" customFormat="1" ht="12.75" customHeight="1">
      <c r="A2506" s="407"/>
      <c r="C2506" s="151"/>
      <c r="D2506" s="444" t="s">
        <v>8</v>
      </c>
      <c r="E2506" s="448"/>
      <c r="F2506" s="448"/>
      <c r="G2506" s="448"/>
      <c r="H2506" s="448"/>
      <c r="I2506" s="29">
        <f>28323+3290</f>
        <v>31613</v>
      </c>
      <c r="J2506" s="29"/>
      <c r="K2506" s="80">
        <f t="shared" si="170"/>
        <v>31613</v>
      </c>
      <c r="L2506" s="80"/>
      <c r="M2506" s="82"/>
    </row>
    <row r="2507" spans="1:13" s="79" customFormat="1" ht="13.5" customHeight="1" hidden="1">
      <c r="A2507" s="407"/>
      <c r="C2507" s="151"/>
      <c r="D2507" s="444" t="s">
        <v>10</v>
      </c>
      <c r="E2507" s="444"/>
      <c r="F2507" s="444"/>
      <c r="G2507" s="444"/>
      <c r="H2507" s="444"/>
      <c r="I2507" s="29"/>
      <c r="J2507" s="29"/>
      <c r="K2507" s="80">
        <f t="shared" si="170"/>
        <v>0</v>
      </c>
      <c r="L2507" s="80"/>
      <c r="M2507" s="82"/>
    </row>
    <row r="2508" spans="1:13" s="79" customFormat="1" ht="13.5" customHeight="1" hidden="1">
      <c r="A2508" s="407"/>
      <c r="C2508" s="151"/>
      <c r="D2508" s="444" t="s">
        <v>9</v>
      </c>
      <c r="E2508" s="444"/>
      <c r="F2508" s="444"/>
      <c r="G2508" s="444"/>
      <c r="H2508" s="444"/>
      <c r="I2508" s="29"/>
      <c r="J2508" s="29"/>
      <c r="K2508" s="80">
        <f t="shared" si="170"/>
        <v>0</v>
      </c>
      <c r="L2508" s="80"/>
      <c r="M2508" s="82"/>
    </row>
    <row r="2509" spans="1:13" s="79" customFormat="1" ht="13.5" customHeight="1">
      <c r="A2509" s="407"/>
      <c r="C2509" s="151"/>
      <c r="D2509" s="444" t="s">
        <v>11</v>
      </c>
      <c r="E2509" s="444"/>
      <c r="F2509" s="444"/>
      <c r="G2509" s="444"/>
      <c r="H2509" s="444"/>
      <c r="I2509" s="29">
        <f>1289+350</f>
        <v>1639</v>
      </c>
      <c r="J2509" s="29"/>
      <c r="K2509" s="80">
        <f t="shared" si="170"/>
        <v>1639</v>
      </c>
      <c r="L2509" s="80"/>
      <c r="M2509" s="82"/>
    </row>
    <row r="2510" spans="1:13" s="79" customFormat="1" ht="13.5" customHeight="1">
      <c r="A2510" s="407"/>
      <c r="C2510" s="151"/>
      <c r="D2510" s="444" t="s">
        <v>12</v>
      </c>
      <c r="E2510" s="444"/>
      <c r="F2510" s="444"/>
      <c r="G2510" s="444"/>
      <c r="H2510" s="444"/>
      <c r="I2510" s="29">
        <f>12070</f>
        <v>12070</v>
      </c>
      <c r="J2510" s="29"/>
      <c r="K2510" s="80">
        <f t="shared" si="170"/>
        <v>12070</v>
      </c>
      <c r="L2510" s="80"/>
      <c r="M2510" s="82"/>
    </row>
    <row r="2511" spans="1:13" s="79" customFormat="1" ht="13.5" customHeight="1">
      <c r="A2511" s="407"/>
      <c r="C2511" s="151"/>
      <c r="D2511" s="445" t="s">
        <v>277</v>
      </c>
      <c r="E2511" s="445"/>
      <c r="F2511" s="445"/>
      <c r="G2511" s="445"/>
      <c r="H2511" s="445"/>
      <c r="I2511" s="77">
        <f>I2500-I2504</f>
        <v>-2132</v>
      </c>
      <c r="J2511" s="77">
        <f>J2500-J2504</f>
        <v>0</v>
      </c>
      <c r="K2511" s="77">
        <f>K2500-K2504</f>
        <v>-2132</v>
      </c>
      <c r="L2511" s="80"/>
      <c r="M2511" s="82"/>
    </row>
    <row r="2512" spans="1:13" s="79" customFormat="1" ht="13.5" customHeight="1">
      <c r="A2512" s="407"/>
      <c r="C2512" s="151"/>
      <c r="D2512" s="444" t="s">
        <v>279</v>
      </c>
      <c r="E2512" s="444"/>
      <c r="F2512" s="444"/>
      <c r="G2512" s="444"/>
      <c r="H2512" s="444"/>
      <c r="I2512" s="29">
        <f>I2513+I2514+I2515</f>
        <v>2132</v>
      </c>
      <c r="J2512" s="29">
        <f>J2513+J2514+J2515</f>
        <v>0</v>
      </c>
      <c r="K2512" s="29">
        <f>K2513+K2514+K2515</f>
        <v>2132</v>
      </c>
      <c r="L2512" s="80"/>
      <c r="M2512" s="82"/>
    </row>
    <row r="2513" spans="1:13" s="79" customFormat="1" ht="12.75" customHeight="1">
      <c r="A2513" s="407"/>
      <c r="C2513" s="151"/>
      <c r="D2513" s="444" t="s">
        <v>278</v>
      </c>
      <c r="E2513" s="444"/>
      <c r="F2513" s="444"/>
      <c r="G2513" s="444"/>
      <c r="H2513" s="444"/>
      <c r="I2513" s="29">
        <v>2132</v>
      </c>
      <c r="J2513" s="77"/>
      <c r="K2513" s="80">
        <f>SUM(I2513:J2513)</f>
        <v>2132</v>
      </c>
      <c r="L2513" s="80"/>
      <c r="M2513" s="82"/>
    </row>
    <row r="2514" spans="1:13" s="79" customFormat="1" ht="13.5" customHeight="1" hidden="1">
      <c r="A2514" s="407"/>
      <c r="C2514" s="151"/>
      <c r="D2514" s="444" t="s">
        <v>280</v>
      </c>
      <c r="E2514" s="444"/>
      <c r="F2514" s="444"/>
      <c r="G2514" s="444"/>
      <c r="H2514" s="444"/>
      <c r="I2514" s="29"/>
      <c r="J2514" s="77"/>
      <c r="K2514" s="80">
        <f>SUM(I2514:J2514)</f>
        <v>0</v>
      </c>
      <c r="L2514" s="80"/>
      <c r="M2514" s="82"/>
    </row>
    <row r="2515" spans="1:13" s="79" customFormat="1" ht="13.5" customHeight="1" hidden="1">
      <c r="A2515" s="407"/>
      <c r="C2515" s="151"/>
      <c r="D2515" s="444" t="s">
        <v>281</v>
      </c>
      <c r="E2515" s="444"/>
      <c r="F2515" s="444"/>
      <c r="G2515" s="444"/>
      <c r="H2515" s="444"/>
      <c r="I2515" s="29"/>
      <c r="J2515" s="77"/>
      <c r="K2515" s="80">
        <f>SUM(I2515:J2515)</f>
        <v>0</v>
      </c>
      <c r="L2515" s="80"/>
      <c r="M2515" s="82"/>
    </row>
    <row r="2516" spans="1:13" s="79" customFormat="1" ht="6.75" customHeight="1">
      <c r="A2516" s="407"/>
      <c r="C2516" s="151"/>
      <c r="D2516" s="85"/>
      <c r="E2516" s="85"/>
      <c r="F2516" s="85"/>
      <c r="G2516" s="85"/>
      <c r="H2516" s="85"/>
      <c r="I2516" s="29"/>
      <c r="J2516" s="77"/>
      <c r="K2516" s="77"/>
      <c r="L2516" s="80"/>
      <c r="M2516" s="82"/>
    </row>
    <row r="2517" spans="1:13" s="15" customFormat="1" ht="13.5" customHeight="1">
      <c r="A2517" s="407"/>
      <c r="C2517" s="166" t="s">
        <v>126</v>
      </c>
      <c r="D2517" s="439" t="s">
        <v>23</v>
      </c>
      <c r="E2517" s="439"/>
      <c r="F2517" s="439"/>
      <c r="G2517" s="439"/>
      <c r="H2517" s="439"/>
      <c r="I2517" s="17"/>
      <c r="J2517" s="17"/>
      <c r="K2517" s="17"/>
      <c r="L2517" s="127"/>
      <c r="M2517" s="95"/>
    </row>
    <row r="2518" spans="1:13" s="79" customFormat="1" ht="12" customHeight="1">
      <c r="A2518" s="407"/>
      <c r="C2518" s="151"/>
      <c r="D2518" s="447" t="s">
        <v>37</v>
      </c>
      <c r="E2518" s="447"/>
      <c r="F2518" s="447"/>
      <c r="G2518" s="447"/>
      <c r="H2518" s="447"/>
      <c r="I2518" s="77">
        <f>SUM(I2519:I2521)</f>
        <v>164312</v>
      </c>
      <c r="J2518" s="77">
        <f>SUM(J2519:J2521)</f>
        <v>19055</v>
      </c>
      <c r="K2518" s="77">
        <f>SUM(K2519:K2521)</f>
        <v>183367</v>
      </c>
      <c r="L2518" s="80"/>
      <c r="M2518" s="82"/>
    </row>
    <row r="2519" spans="1:13" s="79" customFormat="1" ht="12" customHeight="1">
      <c r="A2519" s="407"/>
      <c r="C2519" s="151"/>
      <c r="D2519" s="446" t="s">
        <v>5</v>
      </c>
      <c r="E2519" s="446"/>
      <c r="F2519" s="446"/>
      <c r="G2519" s="446"/>
      <c r="H2519" s="446"/>
      <c r="I2519" s="29"/>
      <c r="J2519" s="29">
        <f>597</f>
        <v>597</v>
      </c>
      <c r="K2519" s="29">
        <f>SUM(I2519:J2519)</f>
        <v>597</v>
      </c>
      <c r="L2519" s="80"/>
      <c r="M2519" s="82"/>
    </row>
    <row r="2520" spans="1:13" s="79" customFormat="1" ht="12" customHeight="1">
      <c r="A2520" s="407"/>
      <c r="C2520" s="151"/>
      <c r="D2520" s="446" t="s">
        <v>6</v>
      </c>
      <c r="E2520" s="446"/>
      <c r="F2520" s="446"/>
      <c r="G2520" s="446"/>
      <c r="H2520" s="446"/>
      <c r="I2520" s="29"/>
      <c r="J2520" s="29">
        <f>16070</f>
        <v>16070</v>
      </c>
      <c r="K2520" s="29">
        <f>SUM(I2520:J2520)</f>
        <v>16070</v>
      </c>
      <c r="L2520" s="80"/>
      <c r="M2520" s="82"/>
    </row>
    <row r="2521" spans="1:13" s="79" customFormat="1" ht="12" customHeight="1">
      <c r="A2521" s="407"/>
      <c r="C2521" s="151"/>
      <c r="D2521" s="446" t="s">
        <v>7</v>
      </c>
      <c r="E2521" s="446"/>
      <c r="F2521" s="446"/>
      <c r="G2521" s="446"/>
      <c r="H2521" s="446"/>
      <c r="I2521" s="29">
        <f>155815+8497</f>
        <v>164312</v>
      </c>
      <c r="J2521" s="29">
        <f>2388</f>
        <v>2388</v>
      </c>
      <c r="K2521" s="29">
        <f>SUM(I2521:J2521)</f>
        <v>166700</v>
      </c>
      <c r="L2521" s="80"/>
      <c r="M2521" s="82"/>
    </row>
    <row r="2522" spans="1:13" s="79" customFormat="1" ht="12" customHeight="1">
      <c r="A2522" s="407"/>
      <c r="C2522" s="151"/>
      <c r="D2522" s="447" t="s">
        <v>38</v>
      </c>
      <c r="E2522" s="447"/>
      <c r="F2522" s="447"/>
      <c r="G2522" s="447"/>
      <c r="H2522" s="447"/>
      <c r="I2522" s="254">
        <f>I2523+I2524+I2525+I2526+I2527+I2528</f>
        <v>393081</v>
      </c>
      <c r="J2522" s="254">
        <f>J2523+J2524+J2525+J2526+J2527+J2528</f>
        <v>19055</v>
      </c>
      <c r="K2522" s="254">
        <f>K2523+K2524+K2525+K2526+K2527+K2528</f>
        <v>412136</v>
      </c>
      <c r="L2522" s="80"/>
      <c r="M2522" s="82"/>
    </row>
    <row r="2523" spans="1:13" s="79" customFormat="1" ht="13.5" customHeight="1">
      <c r="A2523" s="407"/>
      <c r="C2523" s="151"/>
      <c r="D2523" s="446" t="s">
        <v>289</v>
      </c>
      <c r="E2523" s="446"/>
      <c r="F2523" s="446"/>
      <c r="G2523" s="446"/>
      <c r="H2523" s="446"/>
      <c r="I2523" s="29">
        <f>25599+4895</f>
        <v>30494</v>
      </c>
      <c r="J2523" s="29">
        <f>16070+1350</f>
        <v>17420</v>
      </c>
      <c r="K2523" s="29">
        <f aca="true" t="shared" si="171" ref="K2523:K2528">SUM(I2523:J2523)</f>
        <v>47914</v>
      </c>
      <c r="L2523" s="80"/>
      <c r="M2523" s="82"/>
    </row>
    <row r="2524" spans="1:13" s="79" customFormat="1" ht="12.75" customHeight="1">
      <c r="A2524" s="407"/>
      <c r="C2524" s="151"/>
      <c r="D2524" s="444" t="s">
        <v>8</v>
      </c>
      <c r="E2524" s="448"/>
      <c r="F2524" s="448"/>
      <c r="G2524" s="448"/>
      <c r="H2524" s="448"/>
      <c r="I2524" s="29">
        <f>17985+3602</f>
        <v>21587</v>
      </c>
      <c r="J2524" s="29">
        <f>1635</f>
        <v>1635</v>
      </c>
      <c r="K2524" s="29">
        <f t="shared" si="171"/>
        <v>23222</v>
      </c>
      <c r="L2524" s="80"/>
      <c r="M2524" s="82"/>
    </row>
    <row r="2525" spans="1:13" s="79" customFormat="1" ht="13.5" customHeight="1" hidden="1">
      <c r="A2525" s="407"/>
      <c r="C2525" s="151"/>
      <c r="D2525" s="444" t="s">
        <v>10</v>
      </c>
      <c r="E2525" s="444"/>
      <c r="F2525" s="444"/>
      <c r="G2525" s="444"/>
      <c r="H2525" s="444"/>
      <c r="I2525" s="29"/>
      <c r="J2525" s="77"/>
      <c r="K2525" s="29">
        <f t="shared" si="171"/>
        <v>0</v>
      </c>
      <c r="L2525" s="80"/>
      <c r="M2525" s="82"/>
    </row>
    <row r="2526" spans="1:13" s="79" customFormat="1" ht="13.5" customHeight="1" hidden="1">
      <c r="A2526" s="407"/>
      <c r="C2526" s="151"/>
      <c r="D2526" s="444" t="s">
        <v>9</v>
      </c>
      <c r="E2526" s="444"/>
      <c r="F2526" s="444"/>
      <c r="G2526" s="444"/>
      <c r="H2526" s="444"/>
      <c r="I2526" s="29"/>
      <c r="J2526" s="77"/>
      <c r="K2526" s="29">
        <f t="shared" si="171"/>
        <v>0</v>
      </c>
      <c r="L2526" s="80"/>
      <c r="M2526" s="82"/>
    </row>
    <row r="2527" spans="1:13" s="79" customFormat="1" ht="13.5" customHeight="1" hidden="1">
      <c r="A2527" s="407"/>
      <c r="C2527" s="151"/>
      <c r="D2527" s="444" t="s">
        <v>11</v>
      </c>
      <c r="E2527" s="444"/>
      <c r="F2527" s="444"/>
      <c r="G2527" s="444"/>
      <c r="H2527" s="444"/>
      <c r="I2527" s="29"/>
      <c r="J2527" s="29"/>
      <c r="K2527" s="29">
        <f t="shared" si="171"/>
        <v>0</v>
      </c>
      <c r="L2527" s="80"/>
      <c r="M2527" s="82"/>
    </row>
    <row r="2528" spans="1:13" s="79" customFormat="1" ht="13.5" customHeight="1">
      <c r="A2528" s="407"/>
      <c r="C2528" s="151"/>
      <c r="D2528" s="444" t="s">
        <v>12</v>
      </c>
      <c r="E2528" s="444"/>
      <c r="F2528" s="444"/>
      <c r="G2528" s="444"/>
      <c r="H2528" s="444"/>
      <c r="I2528" s="29">
        <v>341000</v>
      </c>
      <c r="J2528" s="29"/>
      <c r="K2528" s="29">
        <f t="shared" si="171"/>
        <v>341000</v>
      </c>
      <c r="L2528" s="80"/>
      <c r="M2528" s="82"/>
    </row>
    <row r="2529" spans="1:13" s="79" customFormat="1" ht="13.5" customHeight="1">
      <c r="A2529" s="407"/>
      <c r="C2529" s="151"/>
      <c r="D2529" s="445" t="s">
        <v>277</v>
      </c>
      <c r="E2529" s="445"/>
      <c r="F2529" s="445"/>
      <c r="G2529" s="445"/>
      <c r="H2529" s="445"/>
      <c r="I2529" s="77">
        <f>I2518-I2522</f>
        <v>-228769</v>
      </c>
      <c r="J2529" s="77">
        <f>J2518-J2522</f>
        <v>0</v>
      </c>
      <c r="K2529" s="77">
        <f>K2518-K2522</f>
        <v>-228769</v>
      </c>
      <c r="L2529" s="80"/>
      <c r="M2529" s="82"/>
    </row>
    <row r="2530" spans="1:13" s="79" customFormat="1" ht="13.5" customHeight="1">
      <c r="A2530" s="407"/>
      <c r="C2530" s="151"/>
      <c r="D2530" s="444" t="s">
        <v>279</v>
      </c>
      <c r="E2530" s="444"/>
      <c r="F2530" s="444"/>
      <c r="G2530" s="444"/>
      <c r="H2530" s="444"/>
      <c r="I2530" s="29">
        <f>I2531+I2532+I2533</f>
        <v>228769</v>
      </c>
      <c r="J2530" s="29">
        <f>J2531+J2532+J2533</f>
        <v>0</v>
      </c>
      <c r="K2530" s="29">
        <f>K2531+K2532+K2533</f>
        <v>228769</v>
      </c>
      <c r="L2530" s="80"/>
      <c r="M2530" s="82"/>
    </row>
    <row r="2531" spans="1:13" s="79" customFormat="1" ht="12.75" customHeight="1">
      <c r="A2531" s="407"/>
      <c r="C2531" s="151"/>
      <c r="D2531" s="444" t="s">
        <v>278</v>
      </c>
      <c r="E2531" s="444"/>
      <c r="F2531" s="444"/>
      <c r="G2531" s="444"/>
      <c r="H2531" s="444"/>
      <c r="I2531" s="29">
        <v>228769</v>
      </c>
      <c r="J2531" s="77"/>
      <c r="K2531" s="80">
        <f>SUM(I2531:J2531)</f>
        <v>228769</v>
      </c>
      <c r="L2531" s="80"/>
      <c r="M2531" s="82"/>
    </row>
    <row r="2532" spans="1:13" s="79" customFormat="1" ht="13.5" customHeight="1" hidden="1">
      <c r="A2532" s="407"/>
      <c r="C2532" s="151"/>
      <c r="D2532" s="444" t="s">
        <v>280</v>
      </c>
      <c r="E2532" s="444"/>
      <c r="F2532" s="444"/>
      <c r="G2532" s="444"/>
      <c r="H2532" s="444"/>
      <c r="I2532" s="29"/>
      <c r="J2532" s="77"/>
      <c r="K2532" s="80">
        <f>SUM(I2532:J2532)</f>
        <v>0</v>
      </c>
      <c r="L2532" s="80"/>
      <c r="M2532" s="82"/>
    </row>
    <row r="2533" spans="1:13" s="79" customFormat="1" ht="13.5" customHeight="1" hidden="1">
      <c r="A2533" s="407"/>
      <c r="C2533" s="151"/>
      <c r="D2533" s="444" t="s">
        <v>281</v>
      </c>
      <c r="E2533" s="444"/>
      <c r="F2533" s="444"/>
      <c r="G2533" s="444"/>
      <c r="H2533" s="444"/>
      <c r="I2533" s="29"/>
      <c r="J2533" s="77"/>
      <c r="K2533" s="80">
        <f>SUM(I2533:J2533)</f>
        <v>0</v>
      </c>
      <c r="L2533" s="80"/>
      <c r="M2533" s="82"/>
    </row>
    <row r="2534" spans="1:13" s="79" customFormat="1" ht="5.25" customHeight="1">
      <c r="A2534" s="407"/>
      <c r="C2534" s="151"/>
      <c r="D2534" s="85"/>
      <c r="E2534" s="85"/>
      <c r="F2534" s="85"/>
      <c r="G2534" s="85"/>
      <c r="H2534" s="85"/>
      <c r="I2534" s="29"/>
      <c r="J2534" s="29"/>
      <c r="K2534" s="29"/>
      <c r="L2534" s="80"/>
      <c r="M2534" s="82"/>
    </row>
    <row r="2535" spans="1:12" s="82" customFormat="1" ht="9" customHeight="1">
      <c r="A2535" s="407"/>
      <c r="C2535" s="149"/>
      <c r="D2535" s="81"/>
      <c r="E2535" s="81"/>
      <c r="F2535" s="81"/>
      <c r="G2535" s="81"/>
      <c r="H2535" s="81"/>
      <c r="I2535" s="29"/>
      <c r="J2535" s="80"/>
      <c r="K2535" s="29"/>
      <c r="L2535" s="80"/>
    </row>
    <row r="2536" spans="1:13" s="15" customFormat="1" ht="13.5" customHeight="1">
      <c r="A2536" s="407"/>
      <c r="C2536" s="142" t="s">
        <v>393</v>
      </c>
      <c r="D2536" s="450" t="s">
        <v>49</v>
      </c>
      <c r="E2536" s="450"/>
      <c r="F2536" s="450"/>
      <c r="G2536" s="450"/>
      <c r="H2536" s="450"/>
      <c r="I2536" s="17"/>
      <c r="J2536" s="126"/>
      <c r="K2536" s="126"/>
      <c r="L2536" s="127"/>
      <c r="M2536" s="95"/>
    </row>
    <row r="2537" spans="1:13" s="15" customFormat="1" ht="13.5" customHeight="1">
      <c r="A2537" s="407"/>
      <c r="C2537" s="154"/>
      <c r="D2537" s="447" t="s">
        <v>37</v>
      </c>
      <c r="E2537" s="447"/>
      <c r="F2537" s="447"/>
      <c r="G2537" s="447"/>
      <c r="H2537" s="447"/>
      <c r="I2537" s="77">
        <f>SUM(I2538:I2540)</f>
        <v>340516</v>
      </c>
      <c r="J2537" s="77">
        <f>SUM(J2538:J2540)</f>
        <v>3577</v>
      </c>
      <c r="K2537" s="77">
        <f>SUM(K2538:K2540)</f>
        <v>344093</v>
      </c>
      <c r="L2537" s="127"/>
      <c r="M2537" s="95"/>
    </row>
    <row r="2538" spans="1:13" s="15" customFormat="1" ht="13.5" customHeight="1">
      <c r="A2538" s="407"/>
      <c r="C2538" s="154"/>
      <c r="D2538" s="446" t="s">
        <v>5</v>
      </c>
      <c r="E2538" s="446"/>
      <c r="F2538" s="446"/>
      <c r="G2538" s="446"/>
      <c r="H2538" s="446"/>
      <c r="I2538" s="29">
        <f aca="true" t="shared" si="172" ref="I2538:K2540">I2556+I2574+I2592</f>
        <v>108547</v>
      </c>
      <c r="J2538" s="29">
        <f t="shared" si="172"/>
        <v>3577</v>
      </c>
      <c r="K2538" s="29">
        <f t="shared" si="172"/>
        <v>112124</v>
      </c>
      <c r="L2538" s="127"/>
      <c r="M2538" s="95"/>
    </row>
    <row r="2539" spans="1:13" s="15" customFormat="1" ht="13.5" customHeight="1">
      <c r="A2539" s="407"/>
      <c r="C2539" s="154"/>
      <c r="D2539" s="446" t="s">
        <v>6</v>
      </c>
      <c r="E2539" s="446"/>
      <c r="F2539" s="446"/>
      <c r="G2539" s="446"/>
      <c r="H2539" s="446"/>
      <c r="I2539" s="29">
        <f t="shared" si="172"/>
        <v>13190</v>
      </c>
      <c r="J2539" s="29">
        <f t="shared" si="172"/>
        <v>0</v>
      </c>
      <c r="K2539" s="29">
        <f t="shared" si="172"/>
        <v>13190</v>
      </c>
      <c r="L2539" s="127"/>
      <c r="M2539" s="95"/>
    </row>
    <row r="2540" spans="1:13" s="15" customFormat="1" ht="13.5" customHeight="1">
      <c r="A2540" s="407"/>
      <c r="C2540" s="154"/>
      <c r="D2540" s="446" t="s">
        <v>7</v>
      </c>
      <c r="E2540" s="446"/>
      <c r="F2540" s="446"/>
      <c r="G2540" s="446"/>
      <c r="H2540" s="446"/>
      <c r="I2540" s="29">
        <f t="shared" si="172"/>
        <v>218779</v>
      </c>
      <c r="J2540" s="29">
        <f t="shared" si="172"/>
        <v>0</v>
      </c>
      <c r="K2540" s="29">
        <f t="shared" si="172"/>
        <v>218779</v>
      </c>
      <c r="L2540" s="127"/>
      <c r="M2540" s="95"/>
    </row>
    <row r="2541" spans="1:13" s="15" customFormat="1" ht="13.5" customHeight="1">
      <c r="A2541" s="407"/>
      <c r="C2541" s="154"/>
      <c r="D2541" s="447" t="s">
        <v>38</v>
      </c>
      <c r="E2541" s="447"/>
      <c r="F2541" s="447"/>
      <c r="G2541" s="447"/>
      <c r="H2541" s="447"/>
      <c r="I2541" s="253">
        <f>SUM(I2542:I2547)</f>
        <v>351746</v>
      </c>
      <c r="J2541" s="253">
        <f>SUM(J2542:J2547)</f>
        <v>3577</v>
      </c>
      <c r="K2541" s="253">
        <f>SUM(K2542:K2547)</f>
        <v>355323</v>
      </c>
      <c r="L2541" s="127"/>
      <c r="M2541" s="95"/>
    </row>
    <row r="2542" spans="1:13" s="15" customFormat="1" ht="13.5" customHeight="1">
      <c r="A2542" s="407"/>
      <c r="C2542" s="154"/>
      <c r="D2542" s="446" t="s">
        <v>289</v>
      </c>
      <c r="E2542" s="446"/>
      <c r="F2542" s="446"/>
      <c r="G2542" s="446"/>
      <c r="H2542" s="446"/>
      <c r="I2542" s="29">
        <f aca="true" t="shared" si="173" ref="I2542:K2547">I2560+I2578+I2596</f>
        <v>287267</v>
      </c>
      <c r="J2542" s="29">
        <f t="shared" si="173"/>
        <v>3577</v>
      </c>
      <c r="K2542" s="29">
        <f t="shared" si="173"/>
        <v>290844</v>
      </c>
      <c r="L2542" s="127"/>
      <c r="M2542" s="95"/>
    </row>
    <row r="2543" spans="1:13" s="15" customFormat="1" ht="12.75" customHeight="1">
      <c r="A2543" s="407"/>
      <c r="C2543" s="154"/>
      <c r="D2543" s="444" t="s">
        <v>8</v>
      </c>
      <c r="E2543" s="448"/>
      <c r="F2543" s="448"/>
      <c r="G2543" s="448"/>
      <c r="H2543" s="448"/>
      <c r="I2543" s="29">
        <f t="shared" si="173"/>
        <v>32471</v>
      </c>
      <c r="J2543" s="29">
        <f t="shared" si="173"/>
        <v>0</v>
      </c>
      <c r="K2543" s="29">
        <f t="shared" si="173"/>
        <v>32471</v>
      </c>
      <c r="L2543" s="127"/>
      <c r="M2543" s="95"/>
    </row>
    <row r="2544" spans="1:13" s="79" customFormat="1" ht="13.5" customHeight="1" hidden="1">
      <c r="A2544" s="407"/>
      <c r="C2544" s="151"/>
      <c r="D2544" s="444" t="s">
        <v>10</v>
      </c>
      <c r="E2544" s="444"/>
      <c r="F2544" s="444"/>
      <c r="G2544" s="444"/>
      <c r="H2544" s="444"/>
      <c r="I2544" s="29">
        <f t="shared" si="173"/>
        <v>0</v>
      </c>
      <c r="J2544" s="29">
        <f t="shared" si="173"/>
        <v>0</v>
      </c>
      <c r="K2544" s="29">
        <f t="shared" si="173"/>
        <v>0</v>
      </c>
      <c r="L2544" s="80"/>
      <c r="M2544" s="82"/>
    </row>
    <row r="2545" spans="1:13" s="79" customFormat="1" ht="13.5" customHeight="1" hidden="1">
      <c r="A2545" s="407"/>
      <c r="C2545" s="151"/>
      <c r="D2545" s="444" t="s">
        <v>9</v>
      </c>
      <c r="E2545" s="444"/>
      <c r="F2545" s="444"/>
      <c r="G2545" s="444"/>
      <c r="H2545" s="444"/>
      <c r="I2545" s="29">
        <f t="shared" si="173"/>
        <v>0</v>
      </c>
      <c r="J2545" s="29">
        <f t="shared" si="173"/>
        <v>0</v>
      </c>
      <c r="K2545" s="29">
        <f t="shared" si="173"/>
        <v>0</v>
      </c>
      <c r="L2545" s="80"/>
      <c r="M2545" s="82"/>
    </row>
    <row r="2546" spans="1:13" s="79" customFormat="1" ht="13.5" customHeight="1">
      <c r="A2546" s="407"/>
      <c r="C2546" s="151"/>
      <c r="D2546" s="444" t="s">
        <v>11</v>
      </c>
      <c r="E2546" s="444"/>
      <c r="F2546" s="444"/>
      <c r="G2546" s="444"/>
      <c r="H2546" s="444"/>
      <c r="I2546" s="29">
        <f t="shared" si="173"/>
        <v>2800</v>
      </c>
      <c r="J2546" s="29">
        <f t="shared" si="173"/>
        <v>0</v>
      </c>
      <c r="K2546" s="29">
        <f t="shared" si="173"/>
        <v>2800</v>
      </c>
      <c r="L2546" s="80"/>
      <c r="M2546" s="82"/>
    </row>
    <row r="2547" spans="1:12" s="108" customFormat="1" ht="13.5" customHeight="1">
      <c r="A2547" s="407"/>
      <c r="C2547" s="149"/>
      <c r="D2547" s="444" t="s">
        <v>12</v>
      </c>
      <c r="E2547" s="444"/>
      <c r="F2547" s="444"/>
      <c r="G2547" s="444"/>
      <c r="H2547" s="444"/>
      <c r="I2547" s="29">
        <f t="shared" si="173"/>
        <v>29208</v>
      </c>
      <c r="J2547" s="29">
        <f t="shared" si="173"/>
        <v>0</v>
      </c>
      <c r="K2547" s="29">
        <f t="shared" si="173"/>
        <v>29208</v>
      </c>
      <c r="L2547" s="246"/>
    </row>
    <row r="2548" spans="1:12" s="108" customFormat="1" ht="13.5" customHeight="1">
      <c r="A2548" s="407"/>
      <c r="C2548" s="149"/>
      <c r="D2548" s="445" t="s">
        <v>277</v>
      </c>
      <c r="E2548" s="445"/>
      <c r="F2548" s="445"/>
      <c r="G2548" s="445"/>
      <c r="H2548" s="445"/>
      <c r="I2548" s="77">
        <f>I2537-I2541</f>
        <v>-11230</v>
      </c>
      <c r="J2548" s="77">
        <f>J2537-J2541</f>
        <v>0</v>
      </c>
      <c r="K2548" s="77">
        <f>K2537-K2541</f>
        <v>-11230</v>
      </c>
      <c r="L2548" s="246"/>
    </row>
    <row r="2549" spans="1:12" s="108" customFormat="1" ht="13.5" customHeight="1">
      <c r="A2549" s="407"/>
      <c r="C2549" s="149"/>
      <c r="D2549" s="444" t="s">
        <v>279</v>
      </c>
      <c r="E2549" s="444"/>
      <c r="F2549" s="444"/>
      <c r="G2549" s="444"/>
      <c r="H2549" s="444"/>
      <c r="I2549" s="29">
        <f>I2550+I2551+I2552</f>
        <v>11230</v>
      </c>
      <c r="J2549" s="29">
        <f>J2550+J2551+J2552</f>
        <v>0</v>
      </c>
      <c r="K2549" s="29">
        <f>K2550+K2551+K2552</f>
        <v>11230</v>
      </c>
      <c r="L2549" s="246"/>
    </row>
    <row r="2550" spans="1:12" s="108" customFormat="1" ht="12.75" customHeight="1">
      <c r="A2550" s="407"/>
      <c r="C2550" s="149"/>
      <c r="D2550" s="444" t="s">
        <v>278</v>
      </c>
      <c r="E2550" s="444"/>
      <c r="F2550" s="444"/>
      <c r="G2550" s="444"/>
      <c r="H2550" s="444"/>
      <c r="I2550" s="29">
        <f aca="true" t="shared" si="174" ref="I2550:K2552">I2568+I2586+I2604</f>
        <v>11230</v>
      </c>
      <c r="J2550" s="29">
        <f t="shared" si="174"/>
        <v>0</v>
      </c>
      <c r="K2550" s="29">
        <f t="shared" si="174"/>
        <v>11230</v>
      </c>
      <c r="L2550" s="246"/>
    </row>
    <row r="2551" spans="1:12" s="108" customFormat="1" ht="13.5" customHeight="1" hidden="1">
      <c r="A2551" s="407"/>
      <c r="C2551" s="149"/>
      <c r="D2551" s="444" t="s">
        <v>280</v>
      </c>
      <c r="E2551" s="444"/>
      <c r="F2551" s="444"/>
      <c r="G2551" s="444"/>
      <c r="H2551" s="444"/>
      <c r="I2551" s="29">
        <f t="shared" si="174"/>
        <v>0</v>
      </c>
      <c r="J2551" s="29">
        <f t="shared" si="174"/>
        <v>0</v>
      </c>
      <c r="K2551" s="29">
        <f t="shared" si="174"/>
        <v>0</v>
      </c>
      <c r="L2551" s="246"/>
    </row>
    <row r="2552" spans="1:12" s="108" customFormat="1" ht="13.5" customHeight="1" hidden="1">
      <c r="A2552" s="407"/>
      <c r="C2552" s="149"/>
      <c r="D2552" s="444" t="s">
        <v>281</v>
      </c>
      <c r="E2552" s="444"/>
      <c r="F2552" s="444"/>
      <c r="G2552" s="444"/>
      <c r="H2552" s="444"/>
      <c r="I2552" s="29">
        <f t="shared" si="174"/>
        <v>0</v>
      </c>
      <c r="J2552" s="29">
        <f t="shared" si="174"/>
        <v>0</v>
      </c>
      <c r="K2552" s="29">
        <f t="shared" si="174"/>
        <v>0</v>
      </c>
      <c r="L2552" s="246"/>
    </row>
    <row r="2553" spans="1:12" s="108" customFormat="1" ht="7.5" customHeight="1">
      <c r="A2553" s="407"/>
      <c r="C2553" s="149"/>
      <c r="D2553" s="85"/>
      <c r="E2553" s="85"/>
      <c r="F2553" s="85"/>
      <c r="G2553" s="85"/>
      <c r="H2553" s="85"/>
      <c r="I2553" s="29"/>
      <c r="J2553" s="29"/>
      <c r="K2553" s="29"/>
      <c r="L2553" s="246"/>
    </row>
    <row r="2554" spans="1:12" s="95" customFormat="1" ht="13.5" customHeight="1">
      <c r="A2554" s="407"/>
      <c r="C2554" s="170" t="s">
        <v>393</v>
      </c>
      <c r="D2554" s="425" t="s">
        <v>49</v>
      </c>
      <c r="E2554" s="425"/>
      <c r="F2554" s="425"/>
      <c r="G2554" s="425"/>
      <c r="H2554" s="425"/>
      <c r="I2554" s="129"/>
      <c r="J2554" s="127"/>
      <c r="K2554" s="127"/>
      <c r="L2554" s="127"/>
    </row>
    <row r="2555" spans="1:12" s="82" customFormat="1" ht="13.5" customHeight="1">
      <c r="A2555" s="407"/>
      <c r="C2555" s="163"/>
      <c r="D2555" s="447" t="s">
        <v>37</v>
      </c>
      <c r="E2555" s="447"/>
      <c r="F2555" s="447"/>
      <c r="G2555" s="447"/>
      <c r="H2555" s="447"/>
      <c r="I2555" s="77">
        <f>SUM(I2556:I2558)</f>
        <v>121737</v>
      </c>
      <c r="J2555" s="77">
        <f>SUM(J2556:J2558)</f>
        <v>3577</v>
      </c>
      <c r="K2555" s="77">
        <f>SUM(K2556:K2558)</f>
        <v>125314</v>
      </c>
      <c r="L2555" s="80"/>
    </row>
    <row r="2556" spans="1:12" s="82" customFormat="1" ht="13.5" customHeight="1">
      <c r="A2556" s="407"/>
      <c r="C2556" s="163"/>
      <c r="D2556" s="446" t="s">
        <v>5</v>
      </c>
      <c r="E2556" s="446"/>
      <c r="F2556" s="446"/>
      <c r="G2556" s="446"/>
      <c r="H2556" s="446"/>
      <c r="I2556" s="29">
        <v>108547</v>
      </c>
      <c r="J2556" s="80">
        <v>3577</v>
      </c>
      <c r="K2556" s="80">
        <f>SUM(I2556:J2556)</f>
        <v>112124</v>
      </c>
      <c r="L2556" s="80"/>
    </row>
    <row r="2557" spans="1:12" s="82" customFormat="1" ht="13.5" customHeight="1">
      <c r="A2557" s="407"/>
      <c r="C2557" s="163"/>
      <c r="D2557" s="446" t="s">
        <v>6</v>
      </c>
      <c r="E2557" s="446"/>
      <c r="F2557" s="446"/>
      <c r="G2557" s="446"/>
      <c r="H2557" s="446"/>
      <c r="I2557" s="29">
        <v>13190</v>
      </c>
      <c r="J2557" s="80"/>
      <c r="K2557" s="80">
        <f>SUM(I2557:J2557)</f>
        <v>13190</v>
      </c>
      <c r="L2557" s="80"/>
    </row>
    <row r="2558" spans="1:12" s="82" customFormat="1" ht="13.5" customHeight="1" hidden="1">
      <c r="A2558" s="407"/>
      <c r="C2558" s="163"/>
      <c r="D2558" s="446" t="s">
        <v>7</v>
      </c>
      <c r="E2558" s="446"/>
      <c r="F2558" s="446"/>
      <c r="G2558" s="446"/>
      <c r="H2558" s="446"/>
      <c r="I2558" s="29"/>
      <c r="J2558" s="80"/>
      <c r="K2558" s="80">
        <f>SUM(I2558:J2558)</f>
        <v>0</v>
      </c>
      <c r="L2558" s="80"/>
    </row>
    <row r="2559" spans="1:12" s="82" customFormat="1" ht="13.5" customHeight="1">
      <c r="A2559" s="407"/>
      <c r="C2559" s="163"/>
      <c r="D2559" s="447" t="s">
        <v>38</v>
      </c>
      <c r="E2559" s="447"/>
      <c r="F2559" s="447"/>
      <c r="G2559" s="447"/>
      <c r="H2559" s="447"/>
      <c r="I2559" s="254">
        <f>SUM(I2560:I2565)</f>
        <v>130109</v>
      </c>
      <c r="J2559" s="254">
        <f>SUM(J2560:J2565)</f>
        <v>3577</v>
      </c>
      <c r="K2559" s="254">
        <f>SUM(K2560:K2565)</f>
        <v>133686</v>
      </c>
      <c r="L2559" s="80"/>
    </row>
    <row r="2560" spans="1:12" s="82" customFormat="1" ht="13.5" customHeight="1">
      <c r="A2560" s="407"/>
      <c r="C2560" s="163"/>
      <c r="D2560" s="446" t="s">
        <v>289</v>
      </c>
      <c r="E2560" s="446"/>
      <c r="F2560" s="446"/>
      <c r="G2560" s="446"/>
      <c r="H2560" s="446"/>
      <c r="I2560" s="29">
        <f>79466+10572</f>
        <v>90038</v>
      </c>
      <c r="J2560" s="80">
        <v>3577</v>
      </c>
      <c r="K2560" s="80">
        <f aca="true" t="shared" si="175" ref="K2560:K2565">SUM(I2560:J2560)</f>
        <v>93615</v>
      </c>
      <c r="L2560" s="80"/>
    </row>
    <row r="2561" spans="1:12" s="82" customFormat="1" ht="13.5" customHeight="1">
      <c r="A2561" s="407"/>
      <c r="C2561" s="151"/>
      <c r="D2561" s="444" t="s">
        <v>8</v>
      </c>
      <c r="E2561" s="448"/>
      <c r="F2561" s="448"/>
      <c r="G2561" s="448"/>
      <c r="H2561" s="448"/>
      <c r="I2561" s="29">
        <f>24281+8190</f>
        <v>32471</v>
      </c>
      <c r="J2561" s="29"/>
      <c r="K2561" s="80">
        <f t="shared" si="175"/>
        <v>32471</v>
      </c>
      <c r="L2561" s="80"/>
    </row>
    <row r="2562" spans="1:12" s="82" customFormat="1" ht="0.75" customHeight="1" hidden="1">
      <c r="A2562" s="407"/>
      <c r="C2562" s="151"/>
      <c r="D2562" s="444" t="s">
        <v>10</v>
      </c>
      <c r="E2562" s="444"/>
      <c r="F2562" s="444"/>
      <c r="G2562" s="444"/>
      <c r="H2562" s="444"/>
      <c r="I2562" s="29"/>
      <c r="J2562" s="29"/>
      <c r="K2562" s="80">
        <f t="shared" si="175"/>
        <v>0</v>
      </c>
      <c r="L2562" s="80"/>
    </row>
    <row r="2563" spans="1:12" s="82" customFormat="1" ht="13.5" customHeight="1" hidden="1">
      <c r="A2563" s="407"/>
      <c r="C2563" s="149"/>
      <c r="D2563" s="444" t="s">
        <v>9</v>
      </c>
      <c r="E2563" s="444"/>
      <c r="F2563" s="444"/>
      <c r="G2563" s="444"/>
      <c r="H2563" s="444"/>
      <c r="I2563" s="29"/>
      <c r="J2563" s="80"/>
      <c r="K2563" s="80">
        <f t="shared" si="175"/>
        <v>0</v>
      </c>
      <c r="L2563" s="80"/>
    </row>
    <row r="2564" spans="1:12" s="82" customFormat="1" ht="13.5" customHeight="1">
      <c r="A2564" s="407"/>
      <c r="C2564" s="149"/>
      <c r="D2564" s="444" t="s">
        <v>11</v>
      </c>
      <c r="E2564" s="444"/>
      <c r="F2564" s="444"/>
      <c r="G2564" s="444"/>
      <c r="H2564" s="444"/>
      <c r="I2564" s="29">
        <v>2800</v>
      </c>
      <c r="J2564" s="80"/>
      <c r="K2564" s="80">
        <f t="shared" si="175"/>
        <v>2800</v>
      </c>
      <c r="L2564" s="80"/>
    </row>
    <row r="2565" spans="1:12" s="82" customFormat="1" ht="13.5" customHeight="1">
      <c r="A2565" s="407"/>
      <c r="C2565" s="151"/>
      <c r="D2565" s="444" t="s">
        <v>12</v>
      </c>
      <c r="E2565" s="444"/>
      <c r="F2565" s="444"/>
      <c r="G2565" s="444"/>
      <c r="H2565" s="444"/>
      <c r="I2565" s="29">
        <f>4800</f>
        <v>4800</v>
      </c>
      <c r="J2565" s="29"/>
      <c r="K2565" s="80">
        <f t="shared" si="175"/>
        <v>4800</v>
      </c>
      <c r="L2565" s="80"/>
    </row>
    <row r="2566" spans="1:12" s="82" customFormat="1" ht="13.5" customHeight="1">
      <c r="A2566" s="407"/>
      <c r="C2566" s="151"/>
      <c r="D2566" s="445" t="s">
        <v>277</v>
      </c>
      <c r="E2566" s="445"/>
      <c r="F2566" s="445"/>
      <c r="G2566" s="445"/>
      <c r="H2566" s="445"/>
      <c r="I2566" s="77">
        <f>I2555-I2559</f>
        <v>-8372</v>
      </c>
      <c r="J2566" s="77">
        <f>J2555-J2559</f>
        <v>0</v>
      </c>
      <c r="K2566" s="77">
        <f>K2555-K2559</f>
        <v>-8372</v>
      </c>
      <c r="L2566" s="80"/>
    </row>
    <row r="2567" spans="1:12" s="82" customFormat="1" ht="13.5" customHeight="1">
      <c r="A2567" s="407"/>
      <c r="C2567" s="151"/>
      <c r="D2567" s="444" t="s">
        <v>279</v>
      </c>
      <c r="E2567" s="444"/>
      <c r="F2567" s="444"/>
      <c r="G2567" s="444"/>
      <c r="H2567" s="444"/>
      <c r="I2567" s="29">
        <f>I2568+I2569+I2570</f>
        <v>8372</v>
      </c>
      <c r="J2567" s="29">
        <f>J2568+J2569+J2570</f>
        <v>0</v>
      </c>
      <c r="K2567" s="29">
        <f>K2568+K2569+K2570</f>
        <v>8372</v>
      </c>
      <c r="L2567" s="80"/>
    </row>
    <row r="2568" spans="1:12" s="82" customFormat="1" ht="13.5" customHeight="1">
      <c r="A2568" s="407"/>
      <c r="C2568" s="151"/>
      <c r="D2568" s="444" t="s">
        <v>278</v>
      </c>
      <c r="E2568" s="444"/>
      <c r="F2568" s="444"/>
      <c r="G2568" s="444"/>
      <c r="H2568" s="444"/>
      <c r="I2568" s="29">
        <v>8372</v>
      </c>
      <c r="J2568" s="77"/>
      <c r="K2568" s="80">
        <f>SUM(I2568:J2568)</f>
        <v>8372</v>
      </c>
      <c r="L2568" s="80"/>
    </row>
    <row r="2569" spans="1:12" s="82" customFormat="1" ht="13.5" customHeight="1">
      <c r="A2569" s="407"/>
      <c r="C2569" s="151"/>
      <c r="D2569" s="444" t="s">
        <v>280</v>
      </c>
      <c r="E2569" s="444"/>
      <c r="F2569" s="444"/>
      <c r="G2569" s="444"/>
      <c r="H2569" s="444"/>
      <c r="I2569" s="29"/>
      <c r="J2569" s="77"/>
      <c r="K2569" s="80">
        <f>SUM(I2569:J2569)</f>
        <v>0</v>
      </c>
      <c r="L2569" s="80"/>
    </row>
    <row r="2570" spans="1:12" s="82" customFormat="1" ht="13.5" customHeight="1">
      <c r="A2570" s="407"/>
      <c r="C2570" s="151"/>
      <c r="D2570" s="444" t="s">
        <v>281</v>
      </c>
      <c r="E2570" s="444"/>
      <c r="F2570" s="444"/>
      <c r="G2570" s="444"/>
      <c r="H2570" s="444"/>
      <c r="I2570" s="29"/>
      <c r="J2570" s="77"/>
      <c r="K2570" s="80">
        <f>SUM(I2570:J2570)</f>
        <v>0</v>
      </c>
      <c r="L2570" s="80"/>
    </row>
    <row r="2571" spans="1:12" s="82" customFormat="1" ht="3.75" customHeight="1">
      <c r="A2571" s="407"/>
      <c r="C2571" s="151"/>
      <c r="D2571" s="85"/>
      <c r="E2571" s="85"/>
      <c r="F2571" s="85"/>
      <c r="G2571" s="85"/>
      <c r="H2571" s="85"/>
      <c r="I2571" s="29"/>
      <c r="J2571" s="77"/>
      <c r="K2571" s="77"/>
      <c r="L2571" s="80"/>
    </row>
    <row r="2572" spans="1:12" s="95" customFormat="1" ht="13.5" customHeight="1">
      <c r="A2572" s="407"/>
      <c r="C2572" s="170" t="s">
        <v>393</v>
      </c>
      <c r="D2572" s="425" t="s">
        <v>202</v>
      </c>
      <c r="E2572" s="425"/>
      <c r="F2572" s="425"/>
      <c r="G2572" s="425"/>
      <c r="H2572" s="425"/>
      <c r="I2572" s="129"/>
      <c r="J2572" s="127"/>
      <c r="K2572" s="127"/>
      <c r="L2572" s="127"/>
    </row>
    <row r="2573" spans="1:12" s="82" customFormat="1" ht="12.75" customHeight="1">
      <c r="A2573" s="407"/>
      <c r="C2573" s="163"/>
      <c r="D2573" s="447" t="s">
        <v>37</v>
      </c>
      <c r="E2573" s="447"/>
      <c r="F2573" s="447"/>
      <c r="G2573" s="447"/>
      <c r="H2573" s="447"/>
      <c r="I2573" s="77">
        <f>SUM(I2574:I2576)</f>
        <v>194140</v>
      </c>
      <c r="J2573" s="77">
        <f>SUM(J2574:J2576)</f>
        <v>0</v>
      </c>
      <c r="K2573" s="77">
        <f>SUM(K2574:K2576)</f>
        <v>194140</v>
      </c>
      <c r="L2573" s="80"/>
    </row>
    <row r="2574" spans="1:12" s="82" customFormat="1" ht="13.5" customHeight="1" hidden="1">
      <c r="A2574" s="407"/>
      <c r="C2574" s="163"/>
      <c r="D2574" s="446" t="s">
        <v>5</v>
      </c>
      <c r="E2574" s="446"/>
      <c r="F2574" s="446"/>
      <c r="G2574" s="446"/>
      <c r="H2574" s="446"/>
      <c r="I2574" s="29"/>
      <c r="J2574" s="80"/>
      <c r="K2574" s="80">
        <f>SUM(I2574:J2574)</f>
        <v>0</v>
      </c>
      <c r="L2574" s="80"/>
    </row>
    <row r="2575" spans="1:12" s="82" customFormat="1" ht="13.5" customHeight="1" hidden="1">
      <c r="A2575" s="407"/>
      <c r="C2575" s="163"/>
      <c r="D2575" s="446" t="s">
        <v>6</v>
      </c>
      <c r="E2575" s="446"/>
      <c r="F2575" s="446"/>
      <c r="G2575" s="446"/>
      <c r="H2575" s="446"/>
      <c r="I2575" s="29"/>
      <c r="J2575" s="80"/>
      <c r="K2575" s="80">
        <f>SUM(I2575:J2575)</f>
        <v>0</v>
      </c>
      <c r="L2575" s="80"/>
    </row>
    <row r="2576" spans="1:12" s="82" customFormat="1" ht="13.5" customHeight="1">
      <c r="A2576" s="407"/>
      <c r="C2576" s="163"/>
      <c r="D2576" s="446" t="s">
        <v>7</v>
      </c>
      <c r="E2576" s="446"/>
      <c r="F2576" s="446"/>
      <c r="G2576" s="446"/>
      <c r="H2576" s="446"/>
      <c r="I2576" s="29">
        <v>194140</v>
      </c>
      <c r="J2576" s="80"/>
      <c r="K2576" s="80">
        <f>SUM(I2576:J2576)</f>
        <v>194140</v>
      </c>
      <c r="L2576" s="80"/>
    </row>
    <row r="2577" spans="1:12" s="82" customFormat="1" ht="13.5" customHeight="1">
      <c r="A2577" s="407"/>
      <c r="C2577" s="163"/>
      <c r="D2577" s="447" t="s">
        <v>38</v>
      </c>
      <c r="E2577" s="447"/>
      <c r="F2577" s="447"/>
      <c r="G2577" s="447"/>
      <c r="H2577" s="447"/>
      <c r="I2577" s="254">
        <f>SUM(I2578:I2583)</f>
        <v>195201</v>
      </c>
      <c r="J2577" s="254">
        <f>SUM(J2578:J2583)</f>
        <v>0</v>
      </c>
      <c r="K2577" s="254">
        <f>SUM(K2578:K2583)</f>
        <v>195201</v>
      </c>
      <c r="L2577" s="80"/>
    </row>
    <row r="2578" spans="1:12" s="82" customFormat="1" ht="12" customHeight="1">
      <c r="A2578" s="407"/>
      <c r="C2578" s="163"/>
      <c r="D2578" s="446" t="s">
        <v>289</v>
      </c>
      <c r="E2578" s="446"/>
      <c r="F2578" s="446"/>
      <c r="G2578" s="446"/>
      <c r="H2578" s="446"/>
      <c r="I2578" s="29">
        <v>195201</v>
      </c>
      <c r="J2578" s="80"/>
      <c r="K2578" s="80">
        <f aca="true" t="shared" si="176" ref="K2578:K2583">SUM(I2578:J2578)</f>
        <v>195201</v>
      </c>
      <c r="L2578" s="80"/>
    </row>
    <row r="2579" spans="1:12" s="82" customFormat="1" ht="13.5" customHeight="1" hidden="1">
      <c r="A2579" s="407"/>
      <c r="C2579" s="163"/>
      <c r="D2579" s="444" t="s">
        <v>8</v>
      </c>
      <c r="E2579" s="444"/>
      <c r="F2579" s="444"/>
      <c r="G2579" s="444"/>
      <c r="H2579" s="444"/>
      <c r="I2579" s="29"/>
      <c r="J2579" s="80"/>
      <c r="K2579" s="80">
        <f t="shared" si="176"/>
        <v>0</v>
      </c>
      <c r="L2579" s="80"/>
    </row>
    <row r="2580" spans="1:12" s="82" customFormat="1" ht="13.5" customHeight="1" hidden="1">
      <c r="A2580" s="407"/>
      <c r="C2580" s="163"/>
      <c r="D2580" s="444" t="s">
        <v>10</v>
      </c>
      <c r="E2580" s="444"/>
      <c r="F2580" s="444"/>
      <c r="G2580" s="444"/>
      <c r="H2580" s="444"/>
      <c r="I2580" s="29"/>
      <c r="J2580" s="80"/>
      <c r="K2580" s="80">
        <f t="shared" si="176"/>
        <v>0</v>
      </c>
      <c r="L2580" s="80"/>
    </row>
    <row r="2581" spans="1:12" s="82" customFormat="1" ht="13.5" customHeight="1" hidden="1">
      <c r="A2581" s="407"/>
      <c r="C2581" s="163"/>
      <c r="D2581" s="444" t="s">
        <v>9</v>
      </c>
      <c r="E2581" s="444"/>
      <c r="F2581" s="444"/>
      <c r="G2581" s="444"/>
      <c r="H2581" s="444"/>
      <c r="I2581" s="29"/>
      <c r="J2581" s="80"/>
      <c r="K2581" s="80">
        <f t="shared" si="176"/>
        <v>0</v>
      </c>
      <c r="L2581" s="80"/>
    </row>
    <row r="2582" spans="1:12" s="82" customFormat="1" ht="13.5" customHeight="1" hidden="1">
      <c r="A2582" s="407"/>
      <c r="C2582" s="163"/>
      <c r="D2582" s="444" t="s">
        <v>11</v>
      </c>
      <c r="E2582" s="444"/>
      <c r="F2582" s="444"/>
      <c r="G2582" s="444"/>
      <c r="H2582" s="444"/>
      <c r="I2582" s="29"/>
      <c r="J2582" s="80"/>
      <c r="K2582" s="80">
        <f t="shared" si="176"/>
        <v>0</v>
      </c>
      <c r="L2582" s="80"/>
    </row>
    <row r="2583" spans="1:12" s="82" customFormat="1" ht="13.5" customHeight="1" hidden="1">
      <c r="A2583" s="407"/>
      <c r="C2583" s="151"/>
      <c r="D2583" s="444" t="s">
        <v>12</v>
      </c>
      <c r="E2583" s="444"/>
      <c r="F2583" s="444"/>
      <c r="G2583" s="444"/>
      <c r="H2583" s="444"/>
      <c r="I2583" s="29"/>
      <c r="J2583" s="77"/>
      <c r="K2583" s="80">
        <f t="shared" si="176"/>
        <v>0</v>
      </c>
      <c r="L2583" s="80"/>
    </row>
    <row r="2584" spans="1:12" s="82" customFormat="1" ht="13.5" customHeight="1">
      <c r="A2584" s="407"/>
      <c r="C2584" s="151"/>
      <c r="D2584" s="445" t="s">
        <v>277</v>
      </c>
      <c r="E2584" s="445"/>
      <c r="F2584" s="445"/>
      <c r="G2584" s="445"/>
      <c r="H2584" s="445"/>
      <c r="I2584" s="77">
        <f>I2573-I2577</f>
        <v>-1061</v>
      </c>
      <c r="J2584" s="77">
        <f>J2573-J2577</f>
        <v>0</v>
      </c>
      <c r="K2584" s="77">
        <f>K2573-K2577</f>
        <v>-1061</v>
      </c>
      <c r="L2584" s="80"/>
    </row>
    <row r="2585" spans="1:12" s="82" customFormat="1" ht="13.5" customHeight="1">
      <c r="A2585" s="407"/>
      <c r="C2585" s="151"/>
      <c r="D2585" s="444" t="s">
        <v>279</v>
      </c>
      <c r="E2585" s="444"/>
      <c r="F2585" s="444"/>
      <c r="G2585" s="444"/>
      <c r="H2585" s="444"/>
      <c r="I2585" s="29">
        <f>I2586+I2587+I2588</f>
        <v>1061</v>
      </c>
      <c r="J2585" s="29">
        <f>J2586+J2587+J2588</f>
        <v>0</v>
      </c>
      <c r="K2585" s="29">
        <f>K2586+K2587+K2588</f>
        <v>1061</v>
      </c>
      <c r="L2585" s="80"/>
    </row>
    <row r="2586" spans="1:12" s="82" customFormat="1" ht="13.5" customHeight="1">
      <c r="A2586" s="407"/>
      <c r="C2586" s="151"/>
      <c r="D2586" s="444" t="s">
        <v>278</v>
      </c>
      <c r="E2586" s="444"/>
      <c r="F2586" s="444"/>
      <c r="G2586" s="444"/>
      <c r="H2586" s="444"/>
      <c r="I2586" s="29">
        <v>1061</v>
      </c>
      <c r="J2586" s="77"/>
      <c r="K2586" s="80">
        <f>SUM(I2586:J2586)</f>
        <v>1061</v>
      </c>
      <c r="L2586" s="80"/>
    </row>
    <row r="2587" spans="1:12" s="82" customFormat="1" ht="13.5" customHeight="1" hidden="1">
      <c r="A2587" s="407"/>
      <c r="C2587" s="151"/>
      <c r="D2587" s="444" t="s">
        <v>280</v>
      </c>
      <c r="E2587" s="444"/>
      <c r="F2587" s="444"/>
      <c r="G2587" s="444"/>
      <c r="H2587" s="444"/>
      <c r="I2587" s="29"/>
      <c r="J2587" s="77"/>
      <c r="K2587" s="80">
        <f>SUM(I2587:J2587)</f>
        <v>0</v>
      </c>
      <c r="L2587" s="80"/>
    </row>
    <row r="2588" spans="1:12" s="82" customFormat="1" ht="13.5" customHeight="1" hidden="1">
      <c r="A2588" s="407"/>
      <c r="C2588" s="151"/>
      <c r="D2588" s="444" t="s">
        <v>281</v>
      </c>
      <c r="E2588" s="444"/>
      <c r="F2588" s="444"/>
      <c r="G2588" s="444"/>
      <c r="H2588" s="444"/>
      <c r="I2588" s="29"/>
      <c r="J2588" s="77"/>
      <c r="K2588" s="80">
        <f>SUM(I2588:J2588)</f>
        <v>0</v>
      </c>
      <c r="L2588" s="80"/>
    </row>
    <row r="2589" spans="1:12" s="82" customFormat="1" ht="10.5" customHeight="1">
      <c r="A2589" s="407"/>
      <c r="C2589" s="151"/>
      <c r="D2589" s="85"/>
      <c r="E2589" s="85"/>
      <c r="F2589" s="85"/>
      <c r="G2589" s="85"/>
      <c r="H2589" s="85"/>
      <c r="I2589" s="29"/>
      <c r="J2589" s="77"/>
      <c r="K2589" s="80"/>
      <c r="L2589" s="80"/>
    </row>
    <row r="2590" spans="1:12" s="95" customFormat="1" ht="13.5" customHeight="1">
      <c r="A2590" s="407"/>
      <c r="C2590" s="170" t="s">
        <v>393</v>
      </c>
      <c r="D2590" s="425" t="s">
        <v>266</v>
      </c>
      <c r="E2590" s="425"/>
      <c r="F2590" s="425"/>
      <c r="G2590" s="425"/>
      <c r="H2590" s="425"/>
      <c r="I2590" s="129"/>
      <c r="J2590" s="17"/>
      <c r="K2590" s="127"/>
      <c r="L2590" s="127"/>
    </row>
    <row r="2591" spans="1:12" s="82" customFormat="1" ht="12.75" customHeight="1">
      <c r="A2591" s="407"/>
      <c r="C2591" s="163"/>
      <c r="D2591" s="447" t="s">
        <v>37</v>
      </c>
      <c r="E2591" s="447"/>
      <c r="F2591" s="447"/>
      <c r="G2591" s="447"/>
      <c r="H2591" s="447"/>
      <c r="I2591" s="77">
        <f>SUM(I2592:I2594)</f>
        <v>24639</v>
      </c>
      <c r="J2591" s="77">
        <f>SUM(J2592:J2594)</f>
        <v>0</v>
      </c>
      <c r="K2591" s="77">
        <f>SUM(K2592:K2594)</f>
        <v>24639</v>
      </c>
      <c r="L2591" s="80"/>
    </row>
    <row r="2592" spans="1:12" s="82" customFormat="1" ht="13.5" customHeight="1" hidden="1">
      <c r="A2592" s="407"/>
      <c r="C2592" s="163"/>
      <c r="D2592" s="446" t="s">
        <v>5</v>
      </c>
      <c r="E2592" s="446"/>
      <c r="F2592" s="446"/>
      <c r="G2592" s="446"/>
      <c r="H2592" s="446"/>
      <c r="I2592" s="29"/>
      <c r="J2592" s="77"/>
      <c r="K2592" s="80">
        <f>SUM(I2592:J2592)</f>
        <v>0</v>
      </c>
      <c r="L2592" s="80"/>
    </row>
    <row r="2593" spans="1:12" s="82" customFormat="1" ht="13.5" customHeight="1" hidden="1">
      <c r="A2593" s="407"/>
      <c r="C2593" s="163"/>
      <c r="D2593" s="446" t="s">
        <v>6</v>
      </c>
      <c r="E2593" s="446"/>
      <c r="F2593" s="446"/>
      <c r="G2593" s="446"/>
      <c r="H2593" s="446"/>
      <c r="I2593" s="29"/>
      <c r="J2593" s="77"/>
      <c r="K2593" s="80">
        <f>SUM(I2593:J2593)</f>
        <v>0</v>
      </c>
      <c r="L2593" s="80"/>
    </row>
    <row r="2594" spans="1:12" s="82" customFormat="1" ht="13.5" customHeight="1">
      <c r="A2594" s="407"/>
      <c r="C2594" s="163"/>
      <c r="D2594" s="446" t="s">
        <v>7</v>
      </c>
      <c r="E2594" s="446"/>
      <c r="F2594" s="446"/>
      <c r="G2594" s="446"/>
      <c r="H2594" s="446"/>
      <c r="I2594" s="29">
        <v>24639</v>
      </c>
      <c r="J2594" s="77"/>
      <c r="K2594" s="80">
        <f>SUM(I2594:J2594)</f>
        <v>24639</v>
      </c>
      <c r="L2594" s="80"/>
    </row>
    <row r="2595" spans="1:12" s="82" customFormat="1" ht="13.5" customHeight="1">
      <c r="A2595" s="407"/>
      <c r="C2595" s="163"/>
      <c r="D2595" s="447" t="s">
        <v>38</v>
      </c>
      <c r="E2595" s="447"/>
      <c r="F2595" s="447"/>
      <c r="G2595" s="447"/>
      <c r="H2595" s="447"/>
      <c r="I2595" s="254">
        <f>SUM(I2596:I2601)</f>
        <v>26436</v>
      </c>
      <c r="J2595" s="254">
        <f>SUM(J2596:J2601)</f>
        <v>0</v>
      </c>
      <c r="K2595" s="254">
        <f>SUM(K2596:K2601)</f>
        <v>26436</v>
      </c>
      <c r="L2595" s="80"/>
    </row>
    <row r="2596" spans="1:12" s="82" customFormat="1" ht="12.75" customHeight="1">
      <c r="A2596" s="407"/>
      <c r="C2596" s="163"/>
      <c r="D2596" s="446" t="s">
        <v>289</v>
      </c>
      <c r="E2596" s="446"/>
      <c r="F2596" s="446"/>
      <c r="G2596" s="446"/>
      <c r="H2596" s="446"/>
      <c r="I2596" s="29">
        <v>2028</v>
      </c>
      <c r="J2596" s="77"/>
      <c r="K2596" s="80">
        <f aca="true" t="shared" si="177" ref="K2596:K2601">SUM(I2596:J2596)</f>
        <v>2028</v>
      </c>
      <c r="L2596" s="80"/>
    </row>
    <row r="2597" spans="1:12" s="82" customFormat="1" ht="13.5" customHeight="1" hidden="1">
      <c r="A2597" s="407"/>
      <c r="C2597" s="163"/>
      <c r="D2597" s="444" t="s">
        <v>8</v>
      </c>
      <c r="E2597" s="444"/>
      <c r="F2597" s="444"/>
      <c r="G2597" s="444"/>
      <c r="H2597" s="444"/>
      <c r="I2597" s="29"/>
      <c r="J2597" s="77"/>
      <c r="K2597" s="80">
        <f t="shared" si="177"/>
        <v>0</v>
      </c>
      <c r="L2597" s="80"/>
    </row>
    <row r="2598" spans="1:12" s="82" customFormat="1" ht="13.5" customHeight="1" hidden="1">
      <c r="A2598" s="407"/>
      <c r="C2598" s="163"/>
      <c r="D2598" s="444" t="s">
        <v>10</v>
      </c>
      <c r="E2598" s="444"/>
      <c r="F2598" s="444"/>
      <c r="G2598" s="444"/>
      <c r="H2598" s="444"/>
      <c r="I2598" s="29"/>
      <c r="J2598" s="77"/>
      <c r="K2598" s="80">
        <f t="shared" si="177"/>
        <v>0</v>
      </c>
      <c r="L2598" s="80"/>
    </row>
    <row r="2599" spans="1:12" s="82" customFormat="1" ht="13.5" customHeight="1" hidden="1">
      <c r="A2599" s="407"/>
      <c r="C2599" s="163"/>
      <c r="D2599" s="444" t="s">
        <v>9</v>
      </c>
      <c r="E2599" s="444"/>
      <c r="F2599" s="444"/>
      <c r="G2599" s="444"/>
      <c r="H2599" s="444"/>
      <c r="I2599" s="29"/>
      <c r="J2599" s="77"/>
      <c r="K2599" s="80">
        <f t="shared" si="177"/>
        <v>0</v>
      </c>
      <c r="L2599" s="80"/>
    </row>
    <row r="2600" spans="1:12" s="82" customFormat="1" ht="13.5" customHeight="1" hidden="1">
      <c r="A2600" s="407"/>
      <c r="C2600" s="163"/>
      <c r="D2600" s="444" t="s">
        <v>11</v>
      </c>
      <c r="E2600" s="444"/>
      <c r="F2600" s="444"/>
      <c r="G2600" s="444"/>
      <c r="H2600" s="444"/>
      <c r="I2600" s="29"/>
      <c r="J2600" s="77"/>
      <c r="K2600" s="80">
        <f t="shared" si="177"/>
        <v>0</v>
      </c>
      <c r="L2600" s="80"/>
    </row>
    <row r="2601" spans="1:12" s="82" customFormat="1" ht="13.5" customHeight="1">
      <c r="A2601" s="407"/>
      <c r="C2601" s="151"/>
      <c r="D2601" s="444" t="s">
        <v>12</v>
      </c>
      <c r="E2601" s="444"/>
      <c r="F2601" s="444"/>
      <c r="G2601" s="444"/>
      <c r="H2601" s="444"/>
      <c r="I2601" s="29">
        <v>24408</v>
      </c>
      <c r="J2601" s="77"/>
      <c r="K2601" s="80">
        <f t="shared" si="177"/>
        <v>24408</v>
      </c>
      <c r="L2601" s="80"/>
    </row>
    <row r="2602" spans="1:12" s="82" customFormat="1" ht="13.5" customHeight="1">
      <c r="A2602" s="407"/>
      <c r="C2602" s="151"/>
      <c r="D2602" s="445" t="s">
        <v>277</v>
      </c>
      <c r="E2602" s="445"/>
      <c r="F2602" s="445"/>
      <c r="G2602" s="445"/>
      <c r="H2602" s="445"/>
      <c r="I2602" s="77">
        <f>I2591-I2595</f>
        <v>-1797</v>
      </c>
      <c r="J2602" s="77">
        <f>J2591-J2595</f>
        <v>0</v>
      </c>
      <c r="K2602" s="77">
        <f>K2591-K2595</f>
        <v>-1797</v>
      </c>
      <c r="L2602" s="80"/>
    </row>
    <row r="2603" spans="1:12" s="82" customFormat="1" ht="13.5" customHeight="1">
      <c r="A2603" s="407"/>
      <c r="C2603" s="151"/>
      <c r="D2603" s="444" t="s">
        <v>279</v>
      </c>
      <c r="E2603" s="444"/>
      <c r="F2603" s="444"/>
      <c r="G2603" s="444"/>
      <c r="H2603" s="444"/>
      <c r="I2603" s="29">
        <f>I2604+I2605+I2606</f>
        <v>1797</v>
      </c>
      <c r="J2603" s="29">
        <f>J2604+J2605+J2606</f>
        <v>0</v>
      </c>
      <c r="K2603" s="29">
        <f>K2604+K2605+K2606</f>
        <v>1797</v>
      </c>
      <c r="L2603" s="80"/>
    </row>
    <row r="2604" spans="1:12" s="82" customFormat="1" ht="12.75" customHeight="1">
      <c r="A2604" s="407"/>
      <c r="C2604" s="151"/>
      <c r="D2604" s="444" t="s">
        <v>278</v>
      </c>
      <c r="E2604" s="444"/>
      <c r="F2604" s="444"/>
      <c r="G2604" s="444"/>
      <c r="H2604" s="444"/>
      <c r="I2604" s="29">
        <v>1797</v>
      </c>
      <c r="J2604" s="77"/>
      <c r="K2604" s="80">
        <f>SUM(I2604:J2604)</f>
        <v>1797</v>
      </c>
      <c r="L2604" s="80"/>
    </row>
    <row r="2605" spans="1:12" s="82" customFormat="1" ht="13.5" customHeight="1" hidden="1">
      <c r="A2605" s="407"/>
      <c r="C2605" s="151"/>
      <c r="D2605" s="444" t="s">
        <v>280</v>
      </c>
      <c r="E2605" s="444"/>
      <c r="F2605" s="444"/>
      <c r="G2605" s="444"/>
      <c r="H2605" s="444"/>
      <c r="I2605" s="29"/>
      <c r="J2605" s="77"/>
      <c r="K2605" s="80">
        <f>SUM(I2605:J2605)</f>
        <v>0</v>
      </c>
      <c r="L2605" s="80"/>
    </row>
    <row r="2606" spans="1:12" s="82" customFormat="1" ht="13.5" customHeight="1" hidden="1">
      <c r="A2606" s="407"/>
      <c r="C2606" s="151"/>
      <c r="D2606" s="444" t="s">
        <v>281</v>
      </c>
      <c r="E2606" s="444"/>
      <c r="F2606" s="444"/>
      <c r="G2606" s="444"/>
      <c r="H2606" s="444"/>
      <c r="I2606" s="29"/>
      <c r="J2606" s="77"/>
      <c r="K2606" s="80">
        <f>SUM(I2606:J2606)</f>
        <v>0</v>
      </c>
      <c r="L2606" s="80"/>
    </row>
    <row r="2607" spans="1:12" s="82" customFormat="1" ht="24.75" customHeight="1">
      <c r="A2607" s="407"/>
      <c r="C2607" s="151"/>
      <c r="D2607" s="85"/>
      <c r="E2607" s="85"/>
      <c r="F2607" s="85"/>
      <c r="G2607" s="85"/>
      <c r="H2607" s="85"/>
      <c r="I2607" s="29"/>
      <c r="J2607" s="77"/>
      <c r="K2607" s="80"/>
      <c r="L2607" s="80"/>
    </row>
    <row r="2608" spans="1:12" s="82" customFormat="1" ht="5.25" customHeight="1" hidden="1">
      <c r="A2608" s="407"/>
      <c r="C2608" s="152"/>
      <c r="D2608" s="34"/>
      <c r="E2608" s="34"/>
      <c r="F2608" s="34"/>
      <c r="G2608" s="34"/>
      <c r="H2608" s="34"/>
      <c r="I2608" s="29"/>
      <c r="J2608" s="80"/>
      <c r="K2608" s="29"/>
      <c r="L2608" s="80"/>
    </row>
    <row r="2609" spans="1:13" s="15" customFormat="1" ht="13.5" customHeight="1">
      <c r="A2609" s="407"/>
      <c r="C2609" s="142" t="s">
        <v>110</v>
      </c>
      <c r="D2609" s="450" t="s">
        <v>191</v>
      </c>
      <c r="E2609" s="450"/>
      <c r="F2609" s="450"/>
      <c r="G2609" s="450"/>
      <c r="H2609" s="450"/>
      <c r="I2609" s="17"/>
      <c r="J2609" s="126"/>
      <c r="K2609" s="126"/>
      <c r="L2609" s="127"/>
      <c r="M2609" s="95"/>
    </row>
    <row r="2610" spans="1:13" s="15" customFormat="1" ht="13.5" customHeight="1">
      <c r="A2610" s="407"/>
      <c r="C2610" s="154"/>
      <c r="D2610" s="447" t="s">
        <v>37</v>
      </c>
      <c r="E2610" s="447"/>
      <c r="F2610" s="447"/>
      <c r="G2610" s="447"/>
      <c r="H2610" s="447"/>
      <c r="I2610" s="77">
        <f>SUM(I2611:I2613)</f>
        <v>65111</v>
      </c>
      <c r="J2610" s="77">
        <f>SUM(J2611:J2613)</f>
        <v>0</v>
      </c>
      <c r="K2610" s="77">
        <f>SUM(K2611:K2613)</f>
        <v>65111</v>
      </c>
      <c r="L2610" s="127"/>
      <c r="M2610" s="95"/>
    </row>
    <row r="2611" spans="1:13" s="15" customFormat="1" ht="13.5" customHeight="1">
      <c r="A2611" s="407"/>
      <c r="C2611" s="154"/>
      <c r="D2611" s="446" t="s">
        <v>5</v>
      </c>
      <c r="E2611" s="446"/>
      <c r="F2611" s="446"/>
      <c r="G2611" s="446"/>
      <c r="H2611" s="446"/>
      <c r="I2611" s="29">
        <f aca="true" t="shared" si="178" ref="I2611:K2613">I2629+I2647</f>
        <v>36224</v>
      </c>
      <c r="J2611" s="29">
        <f t="shared" si="178"/>
        <v>0</v>
      </c>
      <c r="K2611" s="29">
        <f t="shared" si="178"/>
        <v>36224</v>
      </c>
      <c r="L2611" s="127"/>
      <c r="M2611" s="95"/>
    </row>
    <row r="2612" spans="1:13" s="15" customFormat="1" ht="13.5" customHeight="1">
      <c r="A2612" s="407"/>
      <c r="C2612" s="154"/>
      <c r="D2612" s="446" t="s">
        <v>6</v>
      </c>
      <c r="E2612" s="446"/>
      <c r="F2612" s="446"/>
      <c r="G2612" s="446"/>
      <c r="H2612" s="446"/>
      <c r="I2612" s="29">
        <f t="shared" si="178"/>
        <v>23922</v>
      </c>
      <c r="J2612" s="29">
        <f t="shared" si="178"/>
        <v>0</v>
      </c>
      <c r="K2612" s="29">
        <f t="shared" si="178"/>
        <v>23922</v>
      </c>
      <c r="L2612" s="127"/>
      <c r="M2612" s="95"/>
    </row>
    <row r="2613" spans="1:13" s="15" customFormat="1" ht="13.5" customHeight="1">
      <c r="A2613" s="407"/>
      <c r="C2613" s="154"/>
      <c r="D2613" s="446" t="s">
        <v>7</v>
      </c>
      <c r="E2613" s="446"/>
      <c r="F2613" s="446"/>
      <c r="G2613" s="446"/>
      <c r="H2613" s="446"/>
      <c r="I2613" s="29">
        <f t="shared" si="178"/>
        <v>4965</v>
      </c>
      <c r="J2613" s="29">
        <f t="shared" si="178"/>
        <v>0</v>
      </c>
      <c r="K2613" s="29">
        <f t="shared" si="178"/>
        <v>4965</v>
      </c>
      <c r="L2613" s="127"/>
      <c r="M2613" s="95"/>
    </row>
    <row r="2614" spans="1:13" s="15" customFormat="1" ht="13.5" customHeight="1">
      <c r="A2614" s="407"/>
      <c r="C2614" s="154"/>
      <c r="D2614" s="447" t="s">
        <v>38</v>
      </c>
      <c r="E2614" s="447"/>
      <c r="F2614" s="447"/>
      <c r="G2614" s="447"/>
      <c r="H2614" s="447"/>
      <c r="I2614" s="253">
        <f>SUM(I2615:I2620)</f>
        <v>82339</v>
      </c>
      <c r="J2614" s="253">
        <f>SUM(J2615:J2620)</f>
        <v>0</v>
      </c>
      <c r="K2614" s="253">
        <f>SUM(K2615:K2620)</f>
        <v>82339</v>
      </c>
      <c r="L2614" s="127"/>
      <c r="M2614" s="95"/>
    </row>
    <row r="2615" spans="1:13" s="15" customFormat="1" ht="13.5" customHeight="1">
      <c r="A2615" s="407"/>
      <c r="C2615" s="154"/>
      <c r="D2615" s="446" t="s">
        <v>289</v>
      </c>
      <c r="E2615" s="446"/>
      <c r="F2615" s="446"/>
      <c r="G2615" s="446"/>
      <c r="H2615" s="446"/>
      <c r="I2615" s="29">
        <f aca="true" t="shared" si="179" ref="I2615:K2620">I2633+I2651</f>
        <v>39568</v>
      </c>
      <c r="J2615" s="29">
        <f t="shared" si="179"/>
        <v>0</v>
      </c>
      <c r="K2615" s="29">
        <f t="shared" si="179"/>
        <v>39568</v>
      </c>
      <c r="L2615" s="127"/>
      <c r="M2615" s="95"/>
    </row>
    <row r="2616" spans="1:13" s="15" customFormat="1" ht="12" customHeight="1">
      <c r="A2616" s="407"/>
      <c r="C2616" s="154"/>
      <c r="D2616" s="444" t="s">
        <v>8</v>
      </c>
      <c r="E2616" s="448"/>
      <c r="F2616" s="448"/>
      <c r="G2616" s="448"/>
      <c r="H2616" s="448"/>
      <c r="I2616" s="29">
        <f t="shared" si="179"/>
        <v>41629</v>
      </c>
      <c r="J2616" s="29">
        <f t="shared" si="179"/>
        <v>0</v>
      </c>
      <c r="K2616" s="29">
        <f t="shared" si="179"/>
        <v>41629</v>
      </c>
      <c r="L2616" s="127"/>
      <c r="M2616" s="95"/>
    </row>
    <row r="2617" spans="1:13" s="15" customFormat="1" ht="13.5" customHeight="1" hidden="1">
      <c r="A2617" s="407"/>
      <c r="C2617" s="154"/>
      <c r="D2617" s="444" t="s">
        <v>10</v>
      </c>
      <c r="E2617" s="444"/>
      <c r="F2617" s="444"/>
      <c r="G2617" s="444"/>
      <c r="H2617" s="444"/>
      <c r="I2617" s="29">
        <f t="shared" si="179"/>
        <v>0</v>
      </c>
      <c r="J2617" s="29">
        <f t="shared" si="179"/>
        <v>0</v>
      </c>
      <c r="K2617" s="29">
        <f t="shared" si="179"/>
        <v>0</v>
      </c>
      <c r="L2617" s="127"/>
      <c r="M2617" s="95"/>
    </row>
    <row r="2618" spans="1:13" s="15" customFormat="1" ht="13.5" customHeight="1" hidden="1">
      <c r="A2618" s="407"/>
      <c r="C2618" s="154"/>
      <c r="D2618" s="444" t="s">
        <v>9</v>
      </c>
      <c r="E2618" s="444"/>
      <c r="F2618" s="444"/>
      <c r="G2618" s="444"/>
      <c r="H2618" s="444"/>
      <c r="I2618" s="29">
        <f t="shared" si="179"/>
        <v>0</v>
      </c>
      <c r="J2618" s="29">
        <f t="shared" si="179"/>
        <v>0</v>
      </c>
      <c r="K2618" s="29">
        <f t="shared" si="179"/>
        <v>0</v>
      </c>
      <c r="L2618" s="127"/>
      <c r="M2618" s="95"/>
    </row>
    <row r="2619" spans="1:13" s="79" customFormat="1" ht="13.5" customHeight="1">
      <c r="A2619" s="407"/>
      <c r="C2619" s="151"/>
      <c r="D2619" s="444" t="s">
        <v>11</v>
      </c>
      <c r="E2619" s="444"/>
      <c r="F2619" s="444"/>
      <c r="G2619" s="444"/>
      <c r="H2619" s="444"/>
      <c r="I2619" s="29">
        <f t="shared" si="179"/>
        <v>0</v>
      </c>
      <c r="J2619" s="29">
        <f t="shared" si="179"/>
        <v>0</v>
      </c>
      <c r="K2619" s="29">
        <f t="shared" si="179"/>
        <v>0</v>
      </c>
      <c r="L2619" s="80"/>
      <c r="M2619" s="82"/>
    </row>
    <row r="2620" spans="1:13" s="79" customFormat="1" ht="13.5" customHeight="1">
      <c r="A2620" s="407"/>
      <c r="C2620" s="151"/>
      <c r="D2620" s="444" t="s">
        <v>12</v>
      </c>
      <c r="E2620" s="444"/>
      <c r="F2620" s="444"/>
      <c r="G2620" s="444"/>
      <c r="H2620" s="444"/>
      <c r="I2620" s="29">
        <f t="shared" si="179"/>
        <v>1142</v>
      </c>
      <c r="J2620" s="29">
        <f t="shared" si="179"/>
        <v>0</v>
      </c>
      <c r="K2620" s="29">
        <f t="shared" si="179"/>
        <v>1142</v>
      </c>
      <c r="L2620" s="80"/>
      <c r="M2620" s="82"/>
    </row>
    <row r="2621" spans="1:13" s="79" customFormat="1" ht="13.5" customHeight="1">
      <c r="A2621" s="407"/>
      <c r="C2621" s="151"/>
      <c r="D2621" s="445" t="s">
        <v>277</v>
      </c>
      <c r="E2621" s="445"/>
      <c r="F2621" s="445"/>
      <c r="G2621" s="445"/>
      <c r="H2621" s="445"/>
      <c r="I2621" s="77">
        <f>I2610-I2614</f>
        <v>-17228</v>
      </c>
      <c r="J2621" s="77">
        <f>J2610-J2614</f>
        <v>0</v>
      </c>
      <c r="K2621" s="77">
        <f>K2610-K2614</f>
        <v>-17228</v>
      </c>
      <c r="L2621" s="80"/>
      <c r="M2621" s="82"/>
    </row>
    <row r="2622" spans="1:13" s="79" customFormat="1" ht="13.5" customHeight="1">
      <c r="A2622" s="407"/>
      <c r="C2622" s="151"/>
      <c r="D2622" s="444" t="s">
        <v>279</v>
      </c>
      <c r="E2622" s="444"/>
      <c r="F2622" s="444"/>
      <c r="G2622" s="444"/>
      <c r="H2622" s="444"/>
      <c r="I2622" s="29">
        <f>I2623+I2624+I2625</f>
        <v>17228</v>
      </c>
      <c r="J2622" s="29">
        <f>J2623+J2624+J2625</f>
        <v>0</v>
      </c>
      <c r="K2622" s="29">
        <f>K2623+K2624+K2625</f>
        <v>17228</v>
      </c>
      <c r="L2622" s="80"/>
      <c r="M2622" s="82"/>
    </row>
    <row r="2623" spans="1:13" s="79" customFormat="1" ht="13.5" customHeight="1">
      <c r="A2623" s="407"/>
      <c r="C2623" s="151"/>
      <c r="D2623" s="444" t="s">
        <v>278</v>
      </c>
      <c r="E2623" s="444"/>
      <c r="F2623" s="444"/>
      <c r="G2623" s="444"/>
      <c r="H2623" s="444"/>
      <c r="I2623" s="29">
        <f aca="true" t="shared" si="180" ref="I2623:K2625">I2641+I2659</f>
        <v>17228</v>
      </c>
      <c r="J2623" s="29">
        <f t="shared" si="180"/>
        <v>0</v>
      </c>
      <c r="K2623" s="29">
        <f t="shared" si="180"/>
        <v>17228</v>
      </c>
      <c r="L2623" s="80"/>
      <c r="M2623" s="82"/>
    </row>
    <row r="2624" spans="1:13" s="79" customFormat="1" ht="13.5" customHeight="1" hidden="1">
      <c r="A2624" s="407"/>
      <c r="C2624" s="151"/>
      <c r="D2624" s="444" t="s">
        <v>280</v>
      </c>
      <c r="E2624" s="444"/>
      <c r="F2624" s="444"/>
      <c r="G2624" s="444"/>
      <c r="H2624" s="444"/>
      <c r="I2624" s="29">
        <f t="shared" si="180"/>
        <v>0</v>
      </c>
      <c r="J2624" s="29">
        <f t="shared" si="180"/>
        <v>0</v>
      </c>
      <c r="K2624" s="29">
        <f t="shared" si="180"/>
        <v>0</v>
      </c>
      <c r="L2624" s="80"/>
      <c r="M2624" s="82"/>
    </row>
    <row r="2625" spans="1:13" s="79" customFormat="1" ht="13.5" customHeight="1" hidden="1">
      <c r="A2625" s="407"/>
      <c r="C2625" s="151"/>
      <c r="D2625" s="444" t="s">
        <v>281</v>
      </c>
      <c r="E2625" s="444"/>
      <c r="F2625" s="444"/>
      <c r="G2625" s="444"/>
      <c r="H2625" s="444"/>
      <c r="I2625" s="29">
        <f t="shared" si="180"/>
        <v>0</v>
      </c>
      <c r="J2625" s="29">
        <f t="shared" si="180"/>
        <v>0</v>
      </c>
      <c r="K2625" s="29">
        <f t="shared" si="180"/>
        <v>0</v>
      </c>
      <c r="L2625" s="80"/>
      <c r="M2625" s="82"/>
    </row>
    <row r="2626" spans="1:12" s="82" customFormat="1" ht="9" customHeight="1">
      <c r="A2626" s="407"/>
      <c r="C2626" s="149"/>
      <c r="D2626" s="81"/>
      <c r="E2626" s="81"/>
      <c r="F2626" s="81"/>
      <c r="G2626" s="81"/>
      <c r="H2626" s="81"/>
      <c r="I2626" s="29"/>
      <c r="J2626" s="80"/>
      <c r="K2626" s="80"/>
      <c r="L2626" s="80"/>
    </row>
    <row r="2627" spans="1:12" s="95" customFormat="1" ht="13.5" customHeight="1">
      <c r="A2627" s="407"/>
      <c r="C2627" s="170" t="s">
        <v>110</v>
      </c>
      <c r="D2627" s="425" t="s">
        <v>191</v>
      </c>
      <c r="E2627" s="425"/>
      <c r="F2627" s="425"/>
      <c r="G2627" s="425"/>
      <c r="H2627" s="425"/>
      <c r="I2627" s="129"/>
      <c r="J2627" s="127"/>
      <c r="K2627" s="127"/>
      <c r="L2627" s="127"/>
    </row>
    <row r="2628" spans="1:12" s="82" customFormat="1" ht="13.5" customHeight="1">
      <c r="A2628" s="407"/>
      <c r="C2628" s="163"/>
      <c r="D2628" s="439" t="s">
        <v>37</v>
      </c>
      <c r="E2628" s="439"/>
      <c r="F2628" s="439"/>
      <c r="G2628" s="439"/>
      <c r="H2628" s="439"/>
      <c r="I2628" s="77">
        <f>SUM(I2629:I2631)</f>
        <v>60146</v>
      </c>
      <c r="J2628" s="77">
        <f>SUM(J2629:J2631)</f>
        <v>0</v>
      </c>
      <c r="K2628" s="77">
        <f>SUM(K2629:K2631)</f>
        <v>60146</v>
      </c>
      <c r="L2628" s="80"/>
    </row>
    <row r="2629" spans="1:12" s="82" customFormat="1" ht="13.5" customHeight="1">
      <c r="A2629" s="407"/>
      <c r="C2629" s="163"/>
      <c r="D2629" s="446" t="s">
        <v>5</v>
      </c>
      <c r="E2629" s="446"/>
      <c r="F2629" s="446"/>
      <c r="G2629" s="446"/>
      <c r="H2629" s="446"/>
      <c r="I2629" s="29">
        <f>247000-210776</f>
        <v>36224</v>
      </c>
      <c r="J2629" s="80"/>
      <c r="K2629" s="80">
        <f>SUM(I2629:J2629)</f>
        <v>36224</v>
      </c>
      <c r="L2629" s="80"/>
    </row>
    <row r="2630" spans="1:12" s="82" customFormat="1" ht="12.75" customHeight="1">
      <c r="A2630" s="407"/>
      <c r="C2630" s="163"/>
      <c r="D2630" s="446" t="s">
        <v>6</v>
      </c>
      <c r="E2630" s="446"/>
      <c r="F2630" s="446"/>
      <c r="G2630" s="446"/>
      <c r="H2630" s="446"/>
      <c r="I2630" s="29">
        <f>110968-87046</f>
        <v>23922</v>
      </c>
      <c r="J2630" s="80"/>
      <c r="K2630" s="80">
        <f>SUM(I2630:J2630)</f>
        <v>23922</v>
      </c>
      <c r="L2630" s="80"/>
    </row>
    <row r="2631" spans="1:12" s="82" customFormat="1" ht="13.5" customHeight="1" hidden="1">
      <c r="A2631" s="407"/>
      <c r="C2631" s="163"/>
      <c r="D2631" s="446" t="s">
        <v>7</v>
      </c>
      <c r="E2631" s="446"/>
      <c r="F2631" s="446"/>
      <c r="G2631" s="446"/>
      <c r="H2631" s="446"/>
      <c r="I2631" s="29"/>
      <c r="J2631" s="80"/>
      <c r="K2631" s="80">
        <f>SUM(I2631:J2631)</f>
        <v>0</v>
      </c>
      <c r="L2631" s="80"/>
    </row>
    <row r="2632" spans="1:12" s="82" customFormat="1" ht="13.5" customHeight="1">
      <c r="A2632" s="407"/>
      <c r="C2632" s="163"/>
      <c r="D2632" s="439" t="s">
        <v>38</v>
      </c>
      <c r="E2632" s="439"/>
      <c r="F2632" s="439"/>
      <c r="G2632" s="439"/>
      <c r="H2632" s="439"/>
      <c r="I2632" s="254">
        <f>SUM(I2633:I2638)</f>
        <v>77328</v>
      </c>
      <c r="J2632" s="254">
        <f>SUM(J2633:J2638)</f>
        <v>0</v>
      </c>
      <c r="K2632" s="254">
        <f>SUM(K2633:K2638)</f>
        <v>77328</v>
      </c>
      <c r="L2632" s="80"/>
    </row>
    <row r="2633" spans="1:12" s="82" customFormat="1" ht="13.5" customHeight="1">
      <c r="A2633" s="407"/>
      <c r="C2633" s="163"/>
      <c r="D2633" s="449" t="s">
        <v>289</v>
      </c>
      <c r="E2633" s="449"/>
      <c r="F2633" s="449"/>
      <c r="G2633" s="449"/>
      <c r="H2633" s="449"/>
      <c r="I2633" s="29">
        <f>167502-132945</f>
        <v>34557</v>
      </c>
      <c r="J2633" s="80"/>
      <c r="K2633" s="80">
        <f aca="true" t="shared" si="181" ref="K2633:K2638">SUM(I2633:J2633)</f>
        <v>34557</v>
      </c>
      <c r="L2633" s="80"/>
    </row>
    <row r="2634" spans="1:12" s="82" customFormat="1" ht="12.75" customHeight="1">
      <c r="A2634" s="407"/>
      <c r="C2634" s="151"/>
      <c r="D2634" s="434" t="s">
        <v>8</v>
      </c>
      <c r="E2634" s="426"/>
      <c r="F2634" s="426"/>
      <c r="G2634" s="426"/>
      <c r="H2634" s="426"/>
      <c r="I2634" s="29">
        <f>79498+114852-152721</f>
        <v>41629</v>
      </c>
      <c r="J2634" s="29"/>
      <c r="K2634" s="80">
        <f t="shared" si="181"/>
        <v>41629</v>
      </c>
      <c r="L2634" s="80"/>
    </row>
    <row r="2635" spans="1:12" s="82" customFormat="1" ht="13.5" customHeight="1" hidden="1">
      <c r="A2635" s="407"/>
      <c r="C2635" s="151"/>
      <c r="D2635" s="434" t="s">
        <v>10</v>
      </c>
      <c r="E2635" s="434"/>
      <c r="F2635" s="434"/>
      <c r="G2635" s="434"/>
      <c r="H2635" s="434"/>
      <c r="I2635" s="29"/>
      <c r="J2635" s="80"/>
      <c r="K2635" s="80">
        <f t="shared" si="181"/>
        <v>0</v>
      </c>
      <c r="L2635" s="80"/>
    </row>
    <row r="2636" spans="1:12" s="82" customFormat="1" ht="13.5" customHeight="1" hidden="1">
      <c r="A2636" s="407"/>
      <c r="C2636" s="149"/>
      <c r="D2636" s="434" t="s">
        <v>9</v>
      </c>
      <c r="E2636" s="434"/>
      <c r="F2636" s="434"/>
      <c r="G2636" s="434"/>
      <c r="H2636" s="434"/>
      <c r="I2636" s="29"/>
      <c r="J2636" s="80"/>
      <c r="K2636" s="80">
        <f t="shared" si="181"/>
        <v>0</v>
      </c>
      <c r="L2636" s="80"/>
    </row>
    <row r="2637" spans="1:12" s="82" customFormat="1" ht="13.5" customHeight="1">
      <c r="A2637" s="407"/>
      <c r="C2637" s="149"/>
      <c r="D2637" s="434" t="s">
        <v>11</v>
      </c>
      <c r="E2637" s="434"/>
      <c r="F2637" s="434"/>
      <c r="G2637" s="434"/>
      <c r="H2637" s="434"/>
      <c r="I2637" s="29">
        <f>8650-8650</f>
        <v>0</v>
      </c>
      <c r="J2637" s="80"/>
      <c r="K2637" s="80">
        <f t="shared" si="181"/>
        <v>0</v>
      </c>
      <c r="L2637" s="80"/>
    </row>
    <row r="2638" spans="1:12" s="82" customFormat="1" ht="13.5" customHeight="1">
      <c r="A2638" s="407"/>
      <c r="C2638" s="151"/>
      <c r="D2638" s="434" t="s">
        <v>12</v>
      </c>
      <c r="E2638" s="434"/>
      <c r="F2638" s="434"/>
      <c r="G2638" s="434"/>
      <c r="H2638" s="434"/>
      <c r="I2638" s="29">
        <f>4648-3506</f>
        <v>1142</v>
      </c>
      <c r="J2638" s="29"/>
      <c r="K2638" s="80">
        <f t="shared" si="181"/>
        <v>1142</v>
      </c>
      <c r="L2638" s="80"/>
    </row>
    <row r="2639" spans="1:12" s="82" customFormat="1" ht="13.5" customHeight="1">
      <c r="A2639" s="407"/>
      <c r="C2639" s="151"/>
      <c r="D2639" s="427" t="s">
        <v>277</v>
      </c>
      <c r="E2639" s="427"/>
      <c r="F2639" s="427"/>
      <c r="G2639" s="427"/>
      <c r="H2639" s="427"/>
      <c r="I2639" s="77">
        <f>I2628-I2632</f>
        <v>-17182</v>
      </c>
      <c r="J2639" s="77">
        <f>J2628-J2632</f>
        <v>0</v>
      </c>
      <c r="K2639" s="77">
        <f>K2628-K2632</f>
        <v>-17182</v>
      </c>
      <c r="L2639" s="80"/>
    </row>
    <row r="2640" spans="1:12" s="82" customFormat="1" ht="13.5" customHeight="1">
      <c r="A2640" s="407"/>
      <c r="C2640" s="151"/>
      <c r="D2640" s="434" t="s">
        <v>279</v>
      </c>
      <c r="E2640" s="434"/>
      <c r="F2640" s="434"/>
      <c r="G2640" s="434"/>
      <c r="H2640" s="434"/>
      <c r="I2640" s="29">
        <f>I2641+I2642+I2643</f>
        <v>17182</v>
      </c>
      <c r="J2640" s="29">
        <f>J2641+J2642+J2643</f>
        <v>0</v>
      </c>
      <c r="K2640" s="29">
        <f>K2641+K2642+K2643</f>
        <v>17182</v>
      </c>
      <c r="L2640" s="80"/>
    </row>
    <row r="2641" spans="1:12" s="82" customFormat="1" ht="12.75" customHeight="1">
      <c r="A2641" s="407"/>
      <c r="C2641" s="151"/>
      <c r="D2641" s="434" t="s">
        <v>278</v>
      </c>
      <c r="E2641" s="434"/>
      <c r="F2641" s="434"/>
      <c r="G2641" s="434"/>
      <c r="H2641" s="434"/>
      <c r="I2641" s="29">
        <v>17182</v>
      </c>
      <c r="J2641" s="77"/>
      <c r="K2641" s="80">
        <f>SUM(I2641:J2641)</f>
        <v>17182</v>
      </c>
      <c r="L2641" s="80"/>
    </row>
    <row r="2642" spans="1:12" s="82" customFormat="1" ht="13.5" customHeight="1" hidden="1">
      <c r="A2642" s="407"/>
      <c r="C2642" s="151"/>
      <c r="D2642" s="434" t="s">
        <v>280</v>
      </c>
      <c r="E2642" s="434"/>
      <c r="F2642" s="434"/>
      <c r="G2642" s="434"/>
      <c r="H2642" s="434"/>
      <c r="I2642" s="29"/>
      <c r="J2642" s="77"/>
      <c r="K2642" s="80">
        <f>SUM(I2642:J2642)</f>
        <v>0</v>
      </c>
      <c r="L2642" s="80"/>
    </row>
    <row r="2643" spans="1:12" s="82" customFormat="1" ht="13.5" customHeight="1" hidden="1">
      <c r="A2643" s="407"/>
      <c r="C2643" s="151"/>
      <c r="D2643" s="434" t="s">
        <v>281</v>
      </c>
      <c r="E2643" s="434"/>
      <c r="F2643" s="434"/>
      <c r="G2643" s="434"/>
      <c r="H2643" s="434"/>
      <c r="I2643" s="29"/>
      <c r="J2643" s="77"/>
      <c r="K2643" s="80">
        <f>SUM(I2643:J2643)</f>
        <v>0</v>
      </c>
      <c r="L2643" s="80"/>
    </row>
    <row r="2644" spans="1:12" s="82" customFormat="1" ht="9.75" customHeight="1">
      <c r="A2644" s="407"/>
      <c r="C2644" s="149"/>
      <c r="D2644" s="133"/>
      <c r="E2644" s="133"/>
      <c r="F2644" s="133"/>
      <c r="G2644" s="133"/>
      <c r="H2644" s="133"/>
      <c r="I2644" s="29"/>
      <c r="J2644" s="80"/>
      <c r="K2644" s="29"/>
      <c r="L2644" s="80"/>
    </row>
    <row r="2645" spans="1:12" s="95" customFormat="1" ht="13.5" customHeight="1">
      <c r="A2645" s="407"/>
      <c r="C2645" s="170" t="s">
        <v>110</v>
      </c>
      <c r="D2645" s="425" t="s">
        <v>191</v>
      </c>
      <c r="E2645" s="425"/>
      <c r="F2645" s="425"/>
      <c r="G2645" s="425"/>
      <c r="H2645" s="425"/>
      <c r="I2645" s="129"/>
      <c r="J2645" s="127"/>
      <c r="K2645" s="127"/>
      <c r="L2645" s="127"/>
    </row>
    <row r="2646" spans="1:12" s="82" customFormat="1" ht="13.5" customHeight="1">
      <c r="A2646" s="407"/>
      <c r="C2646" s="163"/>
      <c r="D2646" s="439" t="s">
        <v>37</v>
      </c>
      <c r="E2646" s="439"/>
      <c r="F2646" s="439"/>
      <c r="G2646" s="439"/>
      <c r="H2646" s="439"/>
      <c r="I2646" s="77">
        <f>SUM(I2647:I2649)</f>
        <v>4965</v>
      </c>
      <c r="J2646" s="77">
        <f>SUM(J2647:J2649)</f>
        <v>0</v>
      </c>
      <c r="K2646" s="77">
        <f>SUM(K2647:K2649)</f>
        <v>4965</v>
      </c>
      <c r="L2646" s="80"/>
    </row>
    <row r="2647" spans="1:12" s="82" customFormat="1" ht="13.5" customHeight="1" hidden="1">
      <c r="A2647" s="407"/>
      <c r="C2647" s="163"/>
      <c r="D2647" s="446" t="s">
        <v>5</v>
      </c>
      <c r="E2647" s="446"/>
      <c r="F2647" s="446"/>
      <c r="G2647" s="446"/>
      <c r="H2647" s="446"/>
      <c r="I2647" s="29"/>
      <c r="J2647" s="80"/>
      <c r="K2647" s="80">
        <f>SUM(I2647:J2647)</f>
        <v>0</v>
      </c>
      <c r="L2647" s="80"/>
    </row>
    <row r="2648" spans="1:12" s="82" customFormat="1" ht="13.5" customHeight="1" hidden="1">
      <c r="A2648" s="407"/>
      <c r="C2648" s="163"/>
      <c r="D2648" s="446" t="s">
        <v>6</v>
      </c>
      <c r="E2648" s="446"/>
      <c r="F2648" s="446"/>
      <c r="G2648" s="446"/>
      <c r="H2648" s="446"/>
      <c r="I2648" s="29"/>
      <c r="J2648" s="80"/>
      <c r="K2648" s="80">
        <f>SUM(I2648:J2648)</f>
        <v>0</v>
      </c>
      <c r="L2648" s="80"/>
    </row>
    <row r="2649" spans="1:12" s="82" customFormat="1" ht="13.5" customHeight="1">
      <c r="A2649" s="407"/>
      <c r="C2649" s="163"/>
      <c r="D2649" s="446" t="s">
        <v>7</v>
      </c>
      <c r="E2649" s="446"/>
      <c r="F2649" s="446"/>
      <c r="G2649" s="446"/>
      <c r="H2649" s="446"/>
      <c r="I2649" s="29">
        <f>30073-25108</f>
        <v>4965</v>
      </c>
      <c r="J2649" s="80"/>
      <c r="K2649" s="80">
        <f>SUM(I2649:J2649)</f>
        <v>4965</v>
      </c>
      <c r="L2649" s="80"/>
    </row>
    <row r="2650" spans="1:12" s="82" customFormat="1" ht="13.5" customHeight="1">
      <c r="A2650" s="407"/>
      <c r="C2650" s="163"/>
      <c r="D2650" s="439" t="s">
        <v>38</v>
      </c>
      <c r="E2650" s="439"/>
      <c r="F2650" s="439"/>
      <c r="G2650" s="439"/>
      <c r="H2650" s="439"/>
      <c r="I2650" s="254">
        <f>SUM(I2651:I2656)</f>
        <v>5011</v>
      </c>
      <c r="J2650" s="254">
        <f>SUM(J2651:J2656)</f>
        <v>0</v>
      </c>
      <c r="K2650" s="254">
        <f>SUM(K2651:K2656)</f>
        <v>5011</v>
      </c>
      <c r="L2650" s="80"/>
    </row>
    <row r="2651" spans="1:12" s="82" customFormat="1" ht="12.75" customHeight="1">
      <c r="A2651" s="407"/>
      <c r="C2651" s="163"/>
      <c r="D2651" s="449" t="s">
        <v>289</v>
      </c>
      <c r="E2651" s="449"/>
      <c r="F2651" s="449"/>
      <c r="G2651" s="449"/>
      <c r="H2651" s="449"/>
      <c r="I2651" s="29">
        <f>30119-25108</f>
        <v>5011</v>
      </c>
      <c r="J2651" s="80"/>
      <c r="K2651" s="80">
        <f aca="true" t="shared" si="182" ref="K2651:K2656">SUM(I2651:J2651)</f>
        <v>5011</v>
      </c>
      <c r="L2651" s="80"/>
    </row>
    <row r="2652" spans="1:12" s="82" customFormat="1" ht="13.5" customHeight="1" hidden="1">
      <c r="A2652" s="407"/>
      <c r="C2652" s="151"/>
      <c r="D2652" s="434" t="s">
        <v>8</v>
      </c>
      <c r="E2652" s="426"/>
      <c r="F2652" s="426"/>
      <c r="G2652" s="426"/>
      <c r="H2652" s="426"/>
      <c r="I2652" s="29"/>
      <c r="J2652" s="80"/>
      <c r="K2652" s="80">
        <f t="shared" si="182"/>
        <v>0</v>
      </c>
      <c r="L2652" s="80"/>
    </row>
    <row r="2653" spans="1:12" s="82" customFormat="1" ht="13.5" customHeight="1" hidden="1">
      <c r="A2653" s="407"/>
      <c r="C2653" s="149"/>
      <c r="D2653" s="434" t="s">
        <v>10</v>
      </c>
      <c r="E2653" s="434"/>
      <c r="F2653" s="434"/>
      <c r="G2653" s="434"/>
      <c r="H2653" s="434"/>
      <c r="I2653" s="29"/>
      <c r="J2653" s="80"/>
      <c r="K2653" s="80">
        <f t="shared" si="182"/>
        <v>0</v>
      </c>
      <c r="L2653" s="80"/>
    </row>
    <row r="2654" spans="1:12" s="82" customFormat="1" ht="13.5" customHeight="1" hidden="1">
      <c r="A2654" s="407"/>
      <c r="C2654" s="149"/>
      <c r="D2654" s="434" t="s">
        <v>9</v>
      </c>
      <c r="E2654" s="434"/>
      <c r="F2654" s="434"/>
      <c r="G2654" s="434"/>
      <c r="H2654" s="434"/>
      <c r="I2654" s="29"/>
      <c r="J2654" s="80"/>
      <c r="K2654" s="80">
        <f t="shared" si="182"/>
        <v>0</v>
      </c>
      <c r="L2654" s="80"/>
    </row>
    <row r="2655" spans="1:12" s="82" customFormat="1" ht="13.5" customHeight="1" hidden="1">
      <c r="A2655" s="407"/>
      <c r="C2655" s="149"/>
      <c r="D2655" s="434" t="s">
        <v>11</v>
      </c>
      <c r="E2655" s="434"/>
      <c r="F2655" s="434"/>
      <c r="G2655" s="434"/>
      <c r="H2655" s="434"/>
      <c r="I2655" s="29"/>
      <c r="J2655" s="80"/>
      <c r="K2655" s="80">
        <f t="shared" si="182"/>
        <v>0</v>
      </c>
      <c r="L2655" s="80"/>
    </row>
    <row r="2656" spans="1:12" s="82" customFormat="1" ht="13.5" customHeight="1" hidden="1">
      <c r="A2656" s="407"/>
      <c r="C2656" s="149"/>
      <c r="D2656" s="434" t="s">
        <v>12</v>
      </c>
      <c r="E2656" s="434"/>
      <c r="F2656" s="434"/>
      <c r="G2656" s="434"/>
      <c r="H2656" s="434"/>
      <c r="I2656" s="29"/>
      <c r="J2656" s="80"/>
      <c r="K2656" s="80">
        <f t="shared" si="182"/>
        <v>0</v>
      </c>
      <c r="L2656" s="80"/>
    </row>
    <row r="2657" spans="1:12" s="82" customFormat="1" ht="13.5" customHeight="1">
      <c r="A2657" s="407"/>
      <c r="C2657" s="149"/>
      <c r="D2657" s="427" t="s">
        <v>277</v>
      </c>
      <c r="E2657" s="427"/>
      <c r="F2657" s="427"/>
      <c r="G2657" s="427"/>
      <c r="H2657" s="427"/>
      <c r="I2657" s="77">
        <f>I2646-I2650</f>
        <v>-46</v>
      </c>
      <c r="J2657" s="77">
        <f>J2646-J2650</f>
        <v>0</v>
      </c>
      <c r="K2657" s="77">
        <f>K2646-K2650</f>
        <v>-46</v>
      </c>
      <c r="L2657" s="80"/>
    </row>
    <row r="2658" spans="1:12" s="82" customFormat="1" ht="13.5" customHeight="1">
      <c r="A2658" s="407"/>
      <c r="C2658" s="149"/>
      <c r="D2658" s="434" t="s">
        <v>279</v>
      </c>
      <c r="E2658" s="434"/>
      <c r="F2658" s="434"/>
      <c r="G2658" s="434"/>
      <c r="H2658" s="434"/>
      <c r="I2658" s="29">
        <f>I2659+I2660+I2661</f>
        <v>46</v>
      </c>
      <c r="J2658" s="29">
        <f>J2659+J2660+J2661</f>
        <v>0</v>
      </c>
      <c r="K2658" s="29">
        <f>K2659+K2660+K2661</f>
        <v>46</v>
      </c>
      <c r="L2658" s="80"/>
    </row>
    <row r="2659" spans="1:12" s="82" customFormat="1" ht="12.75" customHeight="1">
      <c r="A2659" s="407"/>
      <c r="C2659" s="149"/>
      <c r="D2659" s="434" t="s">
        <v>278</v>
      </c>
      <c r="E2659" s="434"/>
      <c r="F2659" s="434"/>
      <c r="G2659" s="434"/>
      <c r="H2659" s="434"/>
      <c r="I2659" s="29">
        <v>46</v>
      </c>
      <c r="J2659" s="77"/>
      <c r="K2659" s="80">
        <f>SUM(I2659:J2659)</f>
        <v>46</v>
      </c>
      <c r="L2659" s="80"/>
    </row>
    <row r="2660" spans="1:12" s="82" customFormat="1" ht="13.5" customHeight="1" hidden="1">
      <c r="A2660" s="407"/>
      <c r="C2660" s="149"/>
      <c r="D2660" s="434" t="s">
        <v>280</v>
      </c>
      <c r="E2660" s="434"/>
      <c r="F2660" s="434"/>
      <c r="G2660" s="434"/>
      <c r="H2660" s="434"/>
      <c r="I2660" s="29"/>
      <c r="J2660" s="77"/>
      <c r="K2660" s="80">
        <f>SUM(I2660:J2660)</f>
        <v>0</v>
      </c>
      <c r="L2660" s="80"/>
    </row>
    <row r="2661" spans="1:12" s="82" customFormat="1" ht="13.5" customHeight="1" hidden="1">
      <c r="A2661" s="407"/>
      <c r="C2661" s="149"/>
      <c r="D2661" s="434" t="s">
        <v>281</v>
      </c>
      <c r="E2661" s="434"/>
      <c r="F2661" s="434"/>
      <c r="G2661" s="434"/>
      <c r="H2661" s="434"/>
      <c r="I2661" s="29"/>
      <c r="J2661" s="77"/>
      <c r="K2661" s="80">
        <f>SUM(I2661:J2661)</f>
        <v>0</v>
      </c>
      <c r="L2661" s="80"/>
    </row>
    <row r="2662" spans="1:12" s="82" customFormat="1" ht="7.5" customHeight="1">
      <c r="A2662" s="407"/>
      <c r="C2662" s="149"/>
      <c r="D2662" s="177"/>
      <c r="E2662" s="177"/>
      <c r="F2662" s="177"/>
      <c r="G2662" s="177"/>
      <c r="H2662" s="177"/>
      <c r="I2662" s="29"/>
      <c r="J2662" s="77"/>
      <c r="K2662" s="80"/>
      <c r="L2662" s="80"/>
    </row>
    <row r="2663" spans="1:12" s="82" customFormat="1" ht="2.25" customHeight="1" hidden="1">
      <c r="A2663" s="407"/>
      <c r="C2663" s="149"/>
      <c r="D2663" s="133"/>
      <c r="E2663" s="185"/>
      <c r="F2663" s="185"/>
      <c r="G2663" s="185"/>
      <c r="H2663" s="185"/>
      <c r="I2663" s="29"/>
      <c r="J2663" s="80"/>
      <c r="K2663" s="29"/>
      <c r="L2663" s="80"/>
    </row>
    <row r="2664" spans="1:13" s="15" customFormat="1" ht="13.5" customHeight="1">
      <c r="A2664" s="407"/>
      <c r="C2664" s="142" t="s">
        <v>110</v>
      </c>
      <c r="D2664" s="450" t="s">
        <v>294</v>
      </c>
      <c r="E2664" s="450"/>
      <c r="F2664" s="450"/>
      <c r="G2664" s="450"/>
      <c r="H2664" s="450"/>
      <c r="I2664" s="17"/>
      <c r="J2664" s="126"/>
      <c r="K2664" s="126"/>
      <c r="L2664" s="127"/>
      <c r="M2664" s="95"/>
    </row>
    <row r="2665" spans="1:13" s="15" customFormat="1" ht="13.5" customHeight="1">
      <c r="A2665" s="407"/>
      <c r="C2665" s="154"/>
      <c r="D2665" s="439" t="s">
        <v>37</v>
      </c>
      <c r="E2665" s="439"/>
      <c r="F2665" s="439"/>
      <c r="G2665" s="439"/>
      <c r="H2665" s="439"/>
      <c r="I2665" s="77">
        <f>SUM(I2666:I2668)</f>
        <v>473039</v>
      </c>
      <c r="J2665" s="77">
        <f>SUM(J2666:J2668)</f>
        <v>5118</v>
      </c>
      <c r="K2665" s="77">
        <f>SUM(K2666:K2668)</f>
        <v>478157</v>
      </c>
      <c r="L2665" s="127"/>
      <c r="M2665" s="95"/>
    </row>
    <row r="2666" spans="1:13" s="15" customFormat="1" ht="12.75" customHeight="1">
      <c r="A2666" s="407"/>
      <c r="C2666" s="154"/>
      <c r="D2666" s="446" t="s">
        <v>5</v>
      </c>
      <c r="E2666" s="446"/>
      <c r="F2666" s="446"/>
      <c r="G2666" s="446"/>
      <c r="H2666" s="446"/>
      <c r="I2666" s="29">
        <f aca="true" t="shared" si="183" ref="I2666:K2668">I2684+I2702</f>
        <v>276601</v>
      </c>
      <c r="J2666" s="29">
        <f t="shared" si="183"/>
        <v>5118</v>
      </c>
      <c r="K2666" s="29">
        <f t="shared" si="183"/>
        <v>281719</v>
      </c>
      <c r="L2666" s="127"/>
      <c r="M2666" s="95"/>
    </row>
    <row r="2667" spans="1:13" s="15" customFormat="1" ht="13.5" customHeight="1" hidden="1">
      <c r="A2667" s="407"/>
      <c r="C2667" s="154"/>
      <c r="D2667" s="446" t="s">
        <v>6</v>
      </c>
      <c r="E2667" s="446"/>
      <c r="F2667" s="446"/>
      <c r="G2667" s="446"/>
      <c r="H2667" s="446"/>
      <c r="I2667" s="29">
        <f t="shared" si="183"/>
        <v>0</v>
      </c>
      <c r="J2667" s="29">
        <f t="shared" si="183"/>
        <v>0</v>
      </c>
      <c r="K2667" s="29">
        <f t="shared" si="183"/>
        <v>0</v>
      </c>
      <c r="L2667" s="127"/>
      <c r="M2667" s="95"/>
    </row>
    <row r="2668" spans="1:13" s="15" customFormat="1" ht="12.75" customHeight="1">
      <c r="A2668" s="407"/>
      <c r="C2668" s="154"/>
      <c r="D2668" s="446" t="s">
        <v>7</v>
      </c>
      <c r="E2668" s="446"/>
      <c r="F2668" s="446"/>
      <c r="G2668" s="446"/>
      <c r="H2668" s="446"/>
      <c r="I2668" s="29">
        <f t="shared" si="183"/>
        <v>196438</v>
      </c>
      <c r="J2668" s="29">
        <f t="shared" si="183"/>
        <v>0</v>
      </c>
      <c r="K2668" s="29">
        <f t="shared" si="183"/>
        <v>196438</v>
      </c>
      <c r="L2668" s="127"/>
      <c r="M2668" s="95"/>
    </row>
    <row r="2669" spans="1:13" s="15" customFormat="1" ht="13.5" customHeight="1">
      <c r="A2669" s="407"/>
      <c r="C2669" s="154"/>
      <c r="D2669" s="439" t="s">
        <v>38</v>
      </c>
      <c r="E2669" s="439"/>
      <c r="F2669" s="439"/>
      <c r="G2669" s="439"/>
      <c r="H2669" s="439"/>
      <c r="I2669" s="253">
        <f>SUM(I2670:I2675)</f>
        <v>473141</v>
      </c>
      <c r="J2669" s="253">
        <f>SUM(J2670:J2675)</f>
        <v>5118</v>
      </c>
      <c r="K2669" s="253">
        <f>SUM(K2670:K2675)</f>
        <v>478259</v>
      </c>
      <c r="L2669" s="127"/>
      <c r="M2669" s="95"/>
    </row>
    <row r="2670" spans="1:13" s="15" customFormat="1" ht="13.5" customHeight="1">
      <c r="A2670" s="407"/>
      <c r="C2670" s="154"/>
      <c r="D2670" s="449" t="s">
        <v>289</v>
      </c>
      <c r="E2670" s="449"/>
      <c r="F2670" s="449"/>
      <c r="G2670" s="449"/>
      <c r="H2670" s="449"/>
      <c r="I2670" s="29">
        <f aca="true" t="shared" si="184" ref="I2670:K2675">I2688+I2706</f>
        <v>289684</v>
      </c>
      <c r="J2670" s="29">
        <f t="shared" si="184"/>
        <v>4168</v>
      </c>
      <c r="K2670" s="29">
        <f t="shared" si="184"/>
        <v>293852</v>
      </c>
      <c r="L2670" s="127"/>
      <c r="M2670" s="95"/>
    </row>
    <row r="2671" spans="1:13" s="15" customFormat="1" ht="12" customHeight="1">
      <c r="A2671" s="407"/>
      <c r="C2671" s="154"/>
      <c r="D2671" s="434" t="s">
        <v>8</v>
      </c>
      <c r="E2671" s="426"/>
      <c r="F2671" s="426"/>
      <c r="G2671" s="426"/>
      <c r="H2671" s="426"/>
      <c r="I2671" s="29">
        <f t="shared" si="184"/>
        <v>182767</v>
      </c>
      <c r="J2671" s="29">
        <f t="shared" si="184"/>
        <v>590</v>
      </c>
      <c r="K2671" s="29">
        <f t="shared" si="184"/>
        <v>183357</v>
      </c>
      <c r="L2671" s="127"/>
      <c r="M2671" s="95"/>
    </row>
    <row r="2672" spans="1:13" s="15" customFormat="1" ht="13.5" customHeight="1" hidden="1">
      <c r="A2672" s="407"/>
      <c r="C2672" s="154"/>
      <c r="D2672" s="434" t="s">
        <v>10</v>
      </c>
      <c r="E2672" s="434"/>
      <c r="F2672" s="434"/>
      <c r="G2672" s="434"/>
      <c r="H2672" s="434"/>
      <c r="I2672" s="29">
        <f t="shared" si="184"/>
        <v>0</v>
      </c>
      <c r="J2672" s="29">
        <f t="shared" si="184"/>
        <v>0</v>
      </c>
      <c r="K2672" s="29">
        <f t="shared" si="184"/>
        <v>0</v>
      </c>
      <c r="L2672" s="127"/>
      <c r="M2672" s="95"/>
    </row>
    <row r="2673" spans="1:13" s="79" customFormat="1" ht="13.5" customHeight="1" hidden="1">
      <c r="A2673" s="407"/>
      <c r="C2673" s="151"/>
      <c r="D2673" s="434" t="s">
        <v>9</v>
      </c>
      <c r="E2673" s="434"/>
      <c r="F2673" s="434"/>
      <c r="G2673" s="434"/>
      <c r="H2673" s="434"/>
      <c r="I2673" s="29">
        <f t="shared" si="184"/>
        <v>0</v>
      </c>
      <c r="J2673" s="29">
        <f t="shared" si="184"/>
        <v>0</v>
      </c>
      <c r="K2673" s="29">
        <f t="shared" si="184"/>
        <v>0</v>
      </c>
      <c r="L2673" s="80"/>
      <c r="M2673" s="82"/>
    </row>
    <row r="2674" spans="1:12" s="82" customFormat="1" ht="12.75" customHeight="1">
      <c r="A2674" s="407"/>
      <c r="C2674" s="149"/>
      <c r="D2674" s="434" t="s">
        <v>11</v>
      </c>
      <c r="E2674" s="434"/>
      <c r="F2674" s="434"/>
      <c r="G2674" s="434"/>
      <c r="H2674" s="434"/>
      <c r="I2674" s="29">
        <f t="shared" si="184"/>
        <v>690</v>
      </c>
      <c r="J2674" s="29">
        <f t="shared" si="184"/>
        <v>360</v>
      </c>
      <c r="K2674" s="29">
        <f t="shared" si="184"/>
        <v>1050</v>
      </c>
      <c r="L2674" s="80"/>
    </row>
    <row r="2675" spans="1:12" s="82" customFormat="1" ht="13.5" customHeight="1" hidden="1">
      <c r="A2675" s="407"/>
      <c r="C2675" s="149"/>
      <c r="D2675" s="434" t="s">
        <v>12</v>
      </c>
      <c r="E2675" s="434"/>
      <c r="F2675" s="434"/>
      <c r="G2675" s="434"/>
      <c r="H2675" s="434"/>
      <c r="I2675" s="29">
        <f t="shared" si="184"/>
        <v>0</v>
      </c>
      <c r="J2675" s="29">
        <f t="shared" si="184"/>
        <v>0</v>
      </c>
      <c r="K2675" s="29">
        <f t="shared" si="184"/>
        <v>0</v>
      </c>
      <c r="L2675" s="80"/>
    </row>
    <row r="2676" spans="1:12" s="82" customFormat="1" ht="12" customHeight="1">
      <c r="A2676" s="407"/>
      <c r="C2676" s="149"/>
      <c r="D2676" s="427" t="s">
        <v>277</v>
      </c>
      <c r="E2676" s="427"/>
      <c r="F2676" s="427"/>
      <c r="G2676" s="427"/>
      <c r="H2676" s="427"/>
      <c r="I2676" s="77">
        <f>I2665-I2669</f>
        <v>-102</v>
      </c>
      <c r="J2676" s="77">
        <f>J2665-J2669</f>
        <v>0</v>
      </c>
      <c r="K2676" s="77">
        <f>K2665-K2669</f>
        <v>-102</v>
      </c>
      <c r="L2676" s="80"/>
    </row>
    <row r="2677" spans="1:12" s="82" customFormat="1" ht="13.5" customHeight="1">
      <c r="A2677" s="407"/>
      <c r="C2677" s="149"/>
      <c r="D2677" s="434" t="s">
        <v>279</v>
      </c>
      <c r="E2677" s="434"/>
      <c r="F2677" s="434"/>
      <c r="G2677" s="434"/>
      <c r="H2677" s="434"/>
      <c r="I2677" s="29">
        <f>I2678+I2679+I2680</f>
        <v>102</v>
      </c>
      <c r="J2677" s="29">
        <f>J2678+J2679+J2680</f>
        <v>0</v>
      </c>
      <c r="K2677" s="29">
        <f>K2678+K2679+K2680</f>
        <v>102</v>
      </c>
      <c r="L2677" s="80"/>
    </row>
    <row r="2678" spans="1:12" s="82" customFormat="1" ht="12.75" customHeight="1">
      <c r="A2678" s="407"/>
      <c r="C2678" s="149"/>
      <c r="D2678" s="434" t="s">
        <v>278</v>
      </c>
      <c r="E2678" s="434"/>
      <c r="F2678" s="434"/>
      <c r="G2678" s="434"/>
      <c r="H2678" s="434"/>
      <c r="I2678" s="29">
        <f aca="true" t="shared" si="185" ref="I2678:K2680">I2696+I2714</f>
        <v>102</v>
      </c>
      <c r="J2678" s="29">
        <f t="shared" si="185"/>
        <v>0</v>
      </c>
      <c r="K2678" s="29">
        <f t="shared" si="185"/>
        <v>102</v>
      </c>
      <c r="L2678" s="80"/>
    </row>
    <row r="2679" spans="1:12" s="82" customFormat="1" ht="13.5" customHeight="1" hidden="1">
      <c r="A2679" s="407"/>
      <c r="C2679" s="149"/>
      <c r="D2679" s="434" t="s">
        <v>280</v>
      </c>
      <c r="E2679" s="434"/>
      <c r="F2679" s="434"/>
      <c r="G2679" s="434"/>
      <c r="H2679" s="434"/>
      <c r="I2679" s="29">
        <f t="shared" si="185"/>
        <v>0</v>
      </c>
      <c r="J2679" s="29">
        <f t="shared" si="185"/>
        <v>0</v>
      </c>
      <c r="K2679" s="29">
        <f t="shared" si="185"/>
        <v>0</v>
      </c>
      <c r="L2679" s="80"/>
    </row>
    <row r="2680" spans="1:12" s="82" customFormat="1" ht="13.5" customHeight="1" hidden="1">
      <c r="A2680" s="407"/>
      <c r="C2680" s="149"/>
      <c r="D2680" s="434" t="s">
        <v>281</v>
      </c>
      <c r="E2680" s="434"/>
      <c r="F2680" s="434"/>
      <c r="G2680" s="434"/>
      <c r="H2680" s="434"/>
      <c r="I2680" s="29">
        <f t="shared" si="185"/>
        <v>0</v>
      </c>
      <c r="J2680" s="29">
        <f t="shared" si="185"/>
        <v>0</v>
      </c>
      <c r="K2680" s="29">
        <f t="shared" si="185"/>
        <v>0</v>
      </c>
      <c r="L2680" s="80"/>
    </row>
    <row r="2681" spans="1:12" s="82" customFormat="1" ht="6.75" customHeight="1">
      <c r="A2681" s="407"/>
      <c r="C2681" s="149"/>
      <c r="D2681" s="177"/>
      <c r="E2681" s="177"/>
      <c r="F2681" s="177"/>
      <c r="G2681" s="177"/>
      <c r="H2681" s="177"/>
      <c r="I2681" s="29"/>
      <c r="J2681" s="29"/>
      <c r="K2681" s="29"/>
      <c r="L2681" s="80"/>
    </row>
    <row r="2682" spans="1:12" s="95" customFormat="1" ht="13.5" customHeight="1">
      <c r="A2682" s="407"/>
      <c r="C2682" s="170" t="s">
        <v>110</v>
      </c>
      <c r="D2682" s="425" t="s">
        <v>294</v>
      </c>
      <c r="E2682" s="425"/>
      <c r="F2682" s="425"/>
      <c r="G2682" s="425"/>
      <c r="H2682" s="425"/>
      <c r="I2682" s="129"/>
      <c r="J2682" s="127"/>
      <c r="K2682" s="127"/>
      <c r="L2682" s="127"/>
    </row>
    <row r="2683" spans="1:12" s="82" customFormat="1" ht="13.5" customHeight="1">
      <c r="A2683" s="407"/>
      <c r="C2683" s="163"/>
      <c r="D2683" s="439" t="s">
        <v>37</v>
      </c>
      <c r="E2683" s="439"/>
      <c r="F2683" s="439"/>
      <c r="G2683" s="439"/>
      <c r="H2683" s="439"/>
      <c r="I2683" s="77">
        <f>SUM(I2684:I2686)</f>
        <v>276601</v>
      </c>
      <c r="J2683" s="77">
        <f>SUM(J2684:J2686)</f>
        <v>5118</v>
      </c>
      <c r="K2683" s="77">
        <f>SUM(K2684:K2686)</f>
        <v>281719</v>
      </c>
      <c r="L2683" s="80"/>
    </row>
    <row r="2684" spans="1:12" s="82" customFormat="1" ht="13.5" customHeight="1">
      <c r="A2684" s="407"/>
      <c r="C2684" s="163"/>
      <c r="D2684" s="446" t="s">
        <v>5</v>
      </c>
      <c r="E2684" s="446"/>
      <c r="F2684" s="446"/>
      <c r="G2684" s="446"/>
      <c r="H2684" s="446"/>
      <c r="I2684" s="29">
        <f>250000+26601</f>
        <v>276601</v>
      </c>
      <c r="J2684" s="80">
        <f>950+4168</f>
        <v>5118</v>
      </c>
      <c r="K2684" s="80">
        <f>SUM(I2684:J2684)</f>
        <v>281719</v>
      </c>
      <c r="L2684" s="80"/>
    </row>
    <row r="2685" spans="1:12" s="82" customFormat="1" ht="13.5" customHeight="1" hidden="1">
      <c r="A2685" s="407"/>
      <c r="C2685" s="163"/>
      <c r="D2685" s="446" t="s">
        <v>6</v>
      </c>
      <c r="E2685" s="446"/>
      <c r="F2685" s="446"/>
      <c r="G2685" s="446"/>
      <c r="H2685" s="446"/>
      <c r="I2685" s="29"/>
      <c r="J2685" s="80"/>
      <c r="K2685" s="80">
        <f>SUM(I2685:J2685)</f>
        <v>0</v>
      </c>
      <c r="L2685" s="80"/>
    </row>
    <row r="2686" spans="1:12" s="82" customFormat="1" ht="13.5" customHeight="1" hidden="1">
      <c r="A2686" s="407"/>
      <c r="C2686" s="163"/>
      <c r="D2686" s="446" t="s">
        <v>7</v>
      </c>
      <c r="E2686" s="446"/>
      <c r="F2686" s="446"/>
      <c r="G2686" s="446"/>
      <c r="H2686" s="446"/>
      <c r="I2686" s="29"/>
      <c r="J2686" s="80"/>
      <c r="K2686" s="80">
        <f>SUM(I2686:J2686)</f>
        <v>0</v>
      </c>
      <c r="L2686" s="80"/>
    </row>
    <row r="2687" spans="1:12" s="82" customFormat="1" ht="13.5" customHeight="1">
      <c r="A2687" s="407"/>
      <c r="C2687" s="163"/>
      <c r="D2687" s="439" t="s">
        <v>38</v>
      </c>
      <c r="E2687" s="439"/>
      <c r="F2687" s="439"/>
      <c r="G2687" s="439"/>
      <c r="H2687" s="439"/>
      <c r="I2687" s="254">
        <f>SUM(I2688:I2693)</f>
        <v>276703</v>
      </c>
      <c r="J2687" s="254">
        <f>SUM(J2688:J2693)</f>
        <v>5118</v>
      </c>
      <c r="K2687" s="254">
        <f>SUM(K2688:K2693)</f>
        <v>281821</v>
      </c>
      <c r="L2687" s="80"/>
    </row>
    <row r="2688" spans="1:12" s="82" customFormat="1" ht="12" customHeight="1">
      <c r="A2688" s="407"/>
      <c r="C2688" s="163"/>
      <c r="D2688" s="449" t="s">
        <v>289</v>
      </c>
      <c r="E2688" s="449"/>
      <c r="F2688" s="449"/>
      <c r="G2688" s="449"/>
      <c r="H2688" s="449"/>
      <c r="I2688" s="29">
        <f>79368+13878</f>
        <v>93246</v>
      </c>
      <c r="J2688" s="80">
        <f>4168</f>
        <v>4168</v>
      </c>
      <c r="K2688" s="80">
        <f aca="true" t="shared" si="186" ref="K2688:K2693">SUM(I2688:J2688)</f>
        <v>97414</v>
      </c>
      <c r="L2688" s="80"/>
    </row>
    <row r="2689" spans="1:12" s="82" customFormat="1" ht="12" customHeight="1">
      <c r="A2689" s="407"/>
      <c r="C2689" s="149"/>
      <c r="D2689" s="434" t="s">
        <v>8</v>
      </c>
      <c r="E2689" s="426"/>
      <c r="F2689" s="426"/>
      <c r="G2689" s="426"/>
      <c r="H2689" s="426"/>
      <c r="I2689" s="29">
        <f>159942+102+22723</f>
        <v>182767</v>
      </c>
      <c r="J2689" s="29">
        <f>590</f>
        <v>590</v>
      </c>
      <c r="K2689" s="80">
        <f t="shared" si="186"/>
        <v>183357</v>
      </c>
      <c r="L2689" s="80"/>
    </row>
    <row r="2690" spans="1:12" s="82" customFormat="1" ht="13.5" customHeight="1" hidden="1">
      <c r="A2690" s="407"/>
      <c r="C2690" s="149"/>
      <c r="D2690" s="434" t="s">
        <v>10</v>
      </c>
      <c r="E2690" s="434"/>
      <c r="F2690" s="434"/>
      <c r="G2690" s="434"/>
      <c r="H2690" s="434"/>
      <c r="I2690" s="29"/>
      <c r="J2690" s="80"/>
      <c r="K2690" s="80">
        <f t="shared" si="186"/>
        <v>0</v>
      </c>
      <c r="L2690" s="80"/>
    </row>
    <row r="2691" spans="1:12" s="82" customFormat="1" ht="13.5" customHeight="1" hidden="1">
      <c r="A2691" s="407"/>
      <c r="C2691" s="149"/>
      <c r="D2691" s="434" t="s">
        <v>9</v>
      </c>
      <c r="E2691" s="434"/>
      <c r="F2691" s="434"/>
      <c r="G2691" s="434"/>
      <c r="H2691" s="434"/>
      <c r="I2691" s="29"/>
      <c r="J2691" s="80"/>
      <c r="K2691" s="80">
        <f t="shared" si="186"/>
        <v>0</v>
      </c>
      <c r="L2691" s="80"/>
    </row>
    <row r="2692" spans="1:12" s="82" customFormat="1" ht="12" customHeight="1">
      <c r="A2692" s="407"/>
      <c r="C2692" s="149"/>
      <c r="D2692" s="434" t="s">
        <v>11</v>
      </c>
      <c r="E2692" s="434"/>
      <c r="F2692" s="434"/>
      <c r="G2692" s="434"/>
      <c r="H2692" s="434"/>
      <c r="I2692" s="29">
        <v>690</v>
      </c>
      <c r="J2692" s="80">
        <v>360</v>
      </c>
      <c r="K2692" s="80">
        <f t="shared" si="186"/>
        <v>1050</v>
      </c>
      <c r="L2692" s="80"/>
    </row>
    <row r="2693" spans="1:12" s="82" customFormat="1" ht="13.5" customHeight="1" hidden="1">
      <c r="A2693" s="407"/>
      <c r="C2693" s="149"/>
      <c r="D2693" s="434" t="s">
        <v>12</v>
      </c>
      <c r="E2693" s="434"/>
      <c r="F2693" s="434"/>
      <c r="G2693" s="434"/>
      <c r="H2693" s="434"/>
      <c r="I2693" s="29"/>
      <c r="J2693" s="77"/>
      <c r="K2693" s="80">
        <f t="shared" si="186"/>
        <v>0</v>
      </c>
      <c r="L2693" s="80"/>
    </row>
    <row r="2694" spans="1:12" s="82" customFormat="1" ht="13.5" customHeight="1">
      <c r="A2694" s="407"/>
      <c r="C2694" s="149"/>
      <c r="D2694" s="427" t="s">
        <v>277</v>
      </c>
      <c r="E2694" s="427"/>
      <c r="F2694" s="427"/>
      <c r="G2694" s="427"/>
      <c r="H2694" s="427"/>
      <c r="I2694" s="77">
        <f>I2683-I2687</f>
        <v>-102</v>
      </c>
      <c r="J2694" s="77">
        <f>J2683-J2687</f>
        <v>0</v>
      </c>
      <c r="K2694" s="77">
        <f>K2683-K2687</f>
        <v>-102</v>
      </c>
      <c r="L2694" s="80"/>
    </row>
    <row r="2695" spans="1:12" s="82" customFormat="1" ht="13.5" customHeight="1">
      <c r="A2695" s="407"/>
      <c r="C2695" s="149"/>
      <c r="D2695" s="434" t="s">
        <v>279</v>
      </c>
      <c r="E2695" s="434"/>
      <c r="F2695" s="434"/>
      <c r="G2695" s="434"/>
      <c r="H2695" s="434"/>
      <c r="I2695" s="29">
        <f>I2696+I2697+I2698</f>
        <v>102</v>
      </c>
      <c r="J2695" s="29">
        <f>J2696+J2697+J2698</f>
        <v>0</v>
      </c>
      <c r="K2695" s="29">
        <f>K2696+K2697+K2698</f>
        <v>102</v>
      </c>
      <c r="L2695" s="80"/>
    </row>
    <row r="2696" spans="1:12" s="82" customFormat="1" ht="13.5" customHeight="1">
      <c r="A2696" s="407"/>
      <c r="C2696" s="149"/>
      <c r="D2696" s="434" t="s">
        <v>278</v>
      </c>
      <c r="E2696" s="434"/>
      <c r="F2696" s="434"/>
      <c r="G2696" s="434"/>
      <c r="H2696" s="434"/>
      <c r="I2696" s="29">
        <v>102</v>
      </c>
      <c r="J2696" s="77"/>
      <c r="K2696" s="80">
        <f>SUM(I2696:J2696)</f>
        <v>102</v>
      </c>
      <c r="L2696" s="80"/>
    </row>
    <row r="2697" spans="1:12" s="82" customFormat="1" ht="13.5" customHeight="1" hidden="1">
      <c r="A2697" s="407"/>
      <c r="C2697" s="149"/>
      <c r="D2697" s="444" t="s">
        <v>280</v>
      </c>
      <c r="E2697" s="444"/>
      <c r="F2697" s="444"/>
      <c r="G2697" s="444"/>
      <c r="H2697" s="444"/>
      <c r="I2697" s="29"/>
      <c r="J2697" s="77"/>
      <c r="K2697" s="80">
        <f>SUM(I2697:J2697)</f>
        <v>0</v>
      </c>
      <c r="L2697" s="80"/>
    </row>
    <row r="2698" spans="1:12" s="82" customFormat="1" ht="13.5" customHeight="1" hidden="1">
      <c r="A2698" s="407"/>
      <c r="C2698" s="149"/>
      <c r="D2698" s="444" t="s">
        <v>281</v>
      </c>
      <c r="E2698" s="444"/>
      <c r="F2698" s="444"/>
      <c r="G2698" s="444"/>
      <c r="H2698" s="444"/>
      <c r="I2698" s="29"/>
      <c r="J2698" s="77"/>
      <c r="K2698" s="80">
        <f>SUM(I2698:J2698)</f>
        <v>0</v>
      </c>
      <c r="L2698" s="80"/>
    </row>
    <row r="2699" spans="1:12" s="82" customFormat="1" ht="9" customHeight="1">
      <c r="A2699" s="407"/>
      <c r="C2699" s="149"/>
      <c r="D2699" s="85"/>
      <c r="E2699" s="85"/>
      <c r="F2699" s="85"/>
      <c r="G2699" s="85"/>
      <c r="H2699" s="85"/>
      <c r="I2699" s="29"/>
      <c r="J2699" s="77"/>
      <c r="K2699" s="77"/>
      <c r="L2699" s="80"/>
    </row>
    <row r="2700" spans="1:12" s="95" customFormat="1" ht="14.25" customHeight="1">
      <c r="A2700" s="407"/>
      <c r="C2700" s="171" t="s">
        <v>110</v>
      </c>
      <c r="D2700" s="425" t="s">
        <v>294</v>
      </c>
      <c r="E2700" s="425"/>
      <c r="F2700" s="425"/>
      <c r="G2700" s="425"/>
      <c r="H2700" s="425"/>
      <c r="I2700" s="129"/>
      <c r="J2700" s="127"/>
      <c r="K2700" s="127"/>
      <c r="L2700" s="127"/>
    </row>
    <row r="2701" spans="1:12" s="82" customFormat="1" ht="13.5" customHeight="1">
      <c r="A2701" s="407"/>
      <c r="C2701" s="163"/>
      <c r="D2701" s="447" t="s">
        <v>37</v>
      </c>
      <c r="E2701" s="447"/>
      <c r="F2701" s="447"/>
      <c r="G2701" s="447"/>
      <c r="H2701" s="447"/>
      <c r="I2701" s="77">
        <f>SUM(I2702:I2704)</f>
        <v>196438</v>
      </c>
      <c r="J2701" s="77">
        <f>SUM(J2702:J2704)</f>
        <v>0</v>
      </c>
      <c r="K2701" s="77">
        <f>SUM(K2702:K2704)</f>
        <v>196438</v>
      </c>
      <c r="L2701" s="80"/>
    </row>
    <row r="2702" spans="1:12" s="82" customFormat="1" ht="13.5" customHeight="1" hidden="1">
      <c r="A2702" s="407"/>
      <c r="C2702" s="163"/>
      <c r="D2702" s="446" t="s">
        <v>5</v>
      </c>
      <c r="E2702" s="446"/>
      <c r="F2702" s="446"/>
      <c r="G2702" s="446"/>
      <c r="H2702" s="446"/>
      <c r="I2702" s="77"/>
      <c r="J2702" s="80"/>
      <c r="K2702" s="80">
        <f>SUM(I2702:J2702)</f>
        <v>0</v>
      </c>
      <c r="L2702" s="80"/>
    </row>
    <row r="2703" spans="1:12" s="82" customFormat="1" ht="13.5" customHeight="1" hidden="1">
      <c r="A2703" s="407"/>
      <c r="C2703" s="163"/>
      <c r="D2703" s="446" t="s">
        <v>6</v>
      </c>
      <c r="E2703" s="446"/>
      <c r="F2703" s="446"/>
      <c r="G2703" s="446"/>
      <c r="H2703" s="446"/>
      <c r="I2703" s="77"/>
      <c r="J2703" s="80"/>
      <c r="K2703" s="80">
        <f>SUM(I2703:J2703)</f>
        <v>0</v>
      </c>
      <c r="L2703" s="80"/>
    </row>
    <row r="2704" spans="1:12" s="82" customFormat="1" ht="13.5" customHeight="1">
      <c r="A2704" s="407"/>
      <c r="C2704" s="163"/>
      <c r="D2704" s="446" t="s">
        <v>7</v>
      </c>
      <c r="E2704" s="446"/>
      <c r="F2704" s="446"/>
      <c r="G2704" s="446"/>
      <c r="H2704" s="446"/>
      <c r="I2704" s="29">
        <f>171330+25108</f>
        <v>196438</v>
      </c>
      <c r="J2704" s="80"/>
      <c r="K2704" s="80">
        <f>SUM(I2704:J2704)</f>
        <v>196438</v>
      </c>
      <c r="L2704" s="80"/>
    </row>
    <row r="2705" spans="1:12" s="82" customFormat="1" ht="13.5" customHeight="1">
      <c r="A2705" s="407"/>
      <c r="C2705" s="163"/>
      <c r="D2705" s="447" t="s">
        <v>38</v>
      </c>
      <c r="E2705" s="447"/>
      <c r="F2705" s="447"/>
      <c r="G2705" s="447"/>
      <c r="H2705" s="447"/>
      <c r="I2705" s="254">
        <f>SUM(I2706:I2711)</f>
        <v>196438</v>
      </c>
      <c r="J2705" s="254">
        <f>SUM(J2706:J2711)</f>
        <v>0</v>
      </c>
      <c r="K2705" s="254">
        <f>SUM(K2706:K2711)</f>
        <v>196438</v>
      </c>
      <c r="L2705" s="80"/>
    </row>
    <row r="2706" spans="1:12" s="82" customFormat="1" ht="13.5" customHeight="1">
      <c r="A2706" s="407"/>
      <c r="C2706" s="163"/>
      <c r="D2706" s="446" t="s">
        <v>289</v>
      </c>
      <c r="E2706" s="446"/>
      <c r="F2706" s="446"/>
      <c r="G2706" s="446"/>
      <c r="H2706" s="446"/>
      <c r="I2706" s="29">
        <f>171330+25108</f>
        <v>196438</v>
      </c>
      <c r="J2706" s="80"/>
      <c r="K2706" s="80">
        <f aca="true" t="shared" si="187" ref="K2706:K2711">SUM(I2706:J2706)</f>
        <v>196438</v>
      </c>
      <c r="L2706" s="80"/>
    </row>
    <row r="2707" spans="1:12" s="82" customFormat="1" ht="13.5" customHeight="1" hidden="1">
      <c r="A2707" s="407"/>
      <c r="C2707" s="149"/>
      <c r="D2707" s="444" t="s">
        <v>8</v>
      </c>
      <c r="E2707" s="448"/>
      <c r="F2707" s="448"/>
      <c r="G2707" s="448"/>
      <c r="H2707" s="448"/>
      <c r="I2707" s="29"/>
      <c r="J2707" s="80"/>
      <c r="K2707" s="80">
        <f t="shared" si="187"/>
        <v>0</v>
      </c>
      <c r="L2707" s="80"/>
    </row>
    <row r="2708" spans="1:12" s="82" customFormat="1" ht="13.5" customHeight="1" hidden="1">
      <c r="A2708" s="407"/>
      <c r="C2708" s="149"/>
      <c r="D2708" s="444" t="s">
        <v>10</v>
      </c>
      <c r="E2708" s="444"/>
      <c r="F2708" s="444"/>
      <c r="G2708" s="444"/>
      <c r="H2708" s="444"/>
      <c r="I2708" s="29"/>
      <c r="J2708" s="77"/>
      <c r="K2708" s="80">
        <f t="shared" si="187"/>
        <v>0</v>
      </c>
      <c r="L2708" s="80"/>
    </row>
    <row r="2709" spans="1:12" s="82" customFormat="1" ht="13.5" customHeight="1" hidden="1">
      <c r="A2709" s="407"/>
      <c r="C2709" s="149"/>
      <c r="D2709" s="444" t="s">
        <v>9</v>
      </c>
      <c r="E2709" s="444"/>
      <c r="F2709" s="444"/>
      <c r="G2709" s="444"/>
      <c r="H2709" s="444"/>
      <c r="I2709" s="29"/>
      <c r="J2709" s="80"/>
      <c r="K2709" s="80">
        <f t="shared" si="187"/>
        <v>0</v>
      </c>
      <c r="L2709" s="80"/>
    </row>
    <row r="2710" spans="1:12" s="82" customFormat="1" ht="13.5" customHeight="1" hidden="1">
      <c r="A2710" s="407"/>
      <c r="C2710" s="149"/>
      <c r="D2710" s="444" t="s">
        <v>11</v>
      </c>
      <c r="E2710" s="444"/>
      <c r="F2710" s="444"/>
      <c r="G2710" s="444"/>
      <c r="H2710" s="444"/>
      <c r="I2710" s="29"/>
      <c r="J2710" s="80"/>
      <c r="K2710" s="80">
        <f t="shared" si="187"/>
        <v>0</v>
      </c>
      <c r="L2710" s="80"/>
    </row>
    <row r="2711" spans="1:12" s="82" customFormat="1" ht="13.5" customHeight="1" hidden="1">
      <c r="A2711" s="407"/>
      <c r="C2711" s="149"/>
      <c r="D2711" s="444" t="s">
        <v>12</v>
      </c>
      <c r="E2711" s="444"/>
      <c r="F2711" s="444"/>
      <c r="G2711" s="444"/>
      <c r="H2711" s="444"/>
      <c r="I2711" s="29"/>
      <c r="J2711" s="80"/>
      <c r="K2711" s="80">
        <f t="shared" si="187"/>
        <v>0</v>
      </c>
      <c r="L2711" s="80"/>
    </row>
    <row r="2712" spans="1:12" s="82" customFormat="1" ht="14.25" customHeight="1">
      <c r="A2712" s="407"/>
      <c r="C2712" s="149"/>
      <c r="D2712" s="445" t="s">
        <v>277</v>
      </c>
      <c r="E2712" s="445"/>
      <c r="F2712" s="445"/>
      <c r="G2712" s="445"/>
      <c r="H2712" s="445"/>
      <c r="I2712" s="77">
        <f>I2701-I2705</f>
        <v>0</v>
      </c>
      <c r="J2712" s="77">
        <f>J2701-J2705</f>
        <v>0</v>
      </c>
      <c r="K2712" s="77">
        <f>K2701-K2705</f>
        <v>0</v>
      </c>
      <c r="L2712" s="80"/>
    </row>
    <row r="2713" spans="1:12" s="82" customFormat="1" ht="14.25" customHeight="1">
      <c r="A2713" s="407"/>
      <c r="C2713" s="149"/>
      <c r="D2713" s="444" t="s">
        <v>279</v>
      </c>
      <c r="E2713" s="444"/>
      <c r="F2713" s="444"/>
      <c r="G2713" s="444"/>
      <c r="H2713" s="444"/>
      <c r="I2713" s="29">
        <f>I2714+I2715+I2716</f>
        <v>0</v>
      </c>
      <c r="J2713" s="29">
        <f>J2714+J2715+J2716</f>
        <v>0</v>
      </c>
      <c r="K2713" s="29">
        <f>K2714+K2715+K2716</f>
        <v>0</v>
      </c>
      <c r="L2713" s="80"/>
    </row>
    <row r="2714" spans="1:12" s="82" customFormat="1" ht="13.5" customHeight="1" hidden="1">
      <c r="A2714" s="407"/>
      <c r="C2714" s="149"/>
      <c r="D2714" s="444" t="s">
        <v>278</v>
      </c>
      <c r="E2714" s="444"/>
      <c r="F2714" s="444"/>
      <c r="G2714" s="444"/>
      <c r="H2714" s="444"/>
      <c r="I2714" s="29"/>
      <c r="J2714" s="77"/>
      <c r="K2714" s="80">
        <f>SUM(I2714:J2714)</f>
        <v>0</v>
      </c>
      <c r="L2714" s="80"/>
    </row>
    <row r="2715" spans="1:12" s="82" customFormat="1" ht="13.5" customHeight="1" hidden="1">
      <c r="A2715" s="407"/>
      <c r="C2715" s="149"/>
      <c r="D2715" s="444" t="s">
        <v>280</v>
      </c>
      <c r="E2715" s="444"/>
      <c r="F2715" s="444"/>
      <c r="G2715" s="444"/>
      <c r="H2715" s="444"/>
      <c r="I2715" s="29"/>
      <c r="J2715" s="77"/>
      <c r="K2715" s="80">
        <f>SUM(I2715:J2715)</f>
        <v>0</v>
      </c>
      <c r="L2715" s="80"/>
    </row>
    <row r="2716" spans="1:12" s="82" customFormat="1" ht="13.5" customHeight="1" hidden="1">
      <c r="A2716" s="407"/>
      <c r="C2716" s="149"/>
      <c r="D2716" s="444" t="s">
        <v>281</v>
      </c>
      <c r="E2716" s="444"/>
      <c r="F2716" s="444"/>
      <c r="G2716" s="444"/>
      <c r="H2716" s="444"/>
      <c r="I2716" s="29"/>
      <c r="J2716" s="77"/>
      <c r="K2716" s="80">
        <f>SUM(I2716:J2716)</f>
        <v>0</v>
      </c>
      <c r="L2716" s="80"/>
    </row>
    <row r="2717" spans="1:12" s="82" customFormat="1" ht="21.75" customHeight="1">
      <c r="A2717" s="407"/>
      <c r="C2717" s="149"/>
      <c r="D2717" s="85"/>
      <c r="E2717" s="85"/>
      <c r="F2717" s="85"/>
      <c r="G2717" s="85"/>
      <c r="H2717" s="85"/>
      <c r="I2717" s="29"/>
      <c r="J2717" s="80"/>
      <c r="K2717" s="80"/>
      <c r="L2717" s="80"/>
    </row>
    <row r="2718" spans="1:12" s="82" customFormat="1" ht="3" customHeight="1" hidden="1">
      <c r="A2718" s="407"/>
      <c r="C2718" s="149"/>
      <c r="D2718" s="85"/>
      <c r="E2718" s="85"/>
      <c r="F2718" s="85"/>
      <c r="G2718" s="85"/>
      <c r="H2718" s="85"/>
      <c r="I2718" s="29"/>
      <c r="J2718" s="80"/>
      <c r="K2718" s="29"/>
      <c r="L2718" s="80"/>
    </row>
    <row r="2719" spans="1:12" s="82" customFormat="1" ht="12.75" customHeight="1">
      <c r="A2719" s="407"/>
      <c r="C2719" s="159" t="s">
        <v>110</v>
      </c>
      <c r="D2719" s="450" t="s">
        <v>296</v>
      </c>
      <c r="E2719" s="450"/>
      <c r="F2719" s="450"/>
      <c r="G2719" s="450"/>
      <c r="H2719" s="450"/>
      <c r="I2719" s="129"/>
      <c r="J2719" s="127"/>
      <c r="K2719" s="129"/>
      <c r="L2719" s="80"/>
    </row>
    <row r="2720" spans="1:12" s="82" customFormat="1" ht="13.5" customHeight="1">
      <c r="A2720" s="407"/>
      <c r="C2720" s="149"/>
      <c r="D2720" s="447" t="s">
        <v>37</v>
      </c>
      <c r="E2720" s="447"/>
      <c r="F2720" s="447"/>
      <c r="G2720" s="447"/>
      <c r="H2720" s="447"/>
      <c r="I2720" s="77">
        <f>SUM(I2721:I2723)</f>
        <v>968691</v>
      </c>
      <c r="J2720" s="77">
        <f>SUM(J2721:J2723)</f>
        <v>60209</v>
      </c>
      <c r="K2720" s="77">
        <f>SUM(K2721:K2723)</f>
        <v>1028900</v>
      </c>
      <c r="L2720" s="80"/>
    </row>
    <row r="2721" spans="1:12" s="82" customFormat="1" ht="13.5" customHeight="1">
      <c r="A2721" s="407"/>
      <c r="C2721" s="149"/>
      <c r="D2721" s="446" t="s">
        <v>5</v>
      </c>
      <c r="E2721" s="446"/>
      <c r="F2721" s="446"/>
      <c r="G2721" s="446"/>
      <c r="H2721" s="446"/>
      <c r="I2721" s="29">
        <f>493733+47000-32674+235350</f>
        <v>743409</v>
      </c>
      <c r="J2721" s="80">
        <f>60209</f>
        <v>60209</v>
      </c>
      <c r="K2721" s="29">
        <f>SUM(I2721:J2721)</f>
        <v>803618</v>
      </c>
      <c r="L2721" s="80"/>
    </row>
    <row r="2722" spans="1:12" s="82" customFormat="1" ht="13.5" customHeight="1">
      <c r="A2722" s="407"/>
      <c r="C2722" s="149"/>
      <c r="D2722" s="446" t="s">
        <v>6</v>
      </c>
      <c r="E2722" s="446"/>
      <c r="F2722" s="446"/>
      <c r="G2722" s="446"/>
      <c r="H2722" s="446"/>
      <c r="I2722" s="29">
        <f>138236+87046</f>
        <v>225282</v>
      </c>
      <c r="J2722" s="80"/>
      <c r="K2722" s="29">
        <f>SUM(I2722:J2722)</f>
        <v>225282</v>
      </c>
      <c r="L2722" s="80"/>
    </row>
    <row r="2723" spans="1:12" s="82" customFormat="1" ht="13.5" customHeight="1" hidden="1">
      <c r="A2723" s="407"/>
      <c r="C2723" s="149"/>
      <c r="D2723" s="446" t="s">
        <v>7</v>
      </c>
      <c r="E2723" s="446"/>
      <c r="F2723" s="446"/>
      <c r="G2723" s="446"/>
      <c r="H2723" s="446"/>
      <c r="I2723" s="29"/>
      <c r="J2723" s="80"/>
      <c r="K2723" s="29">
        <f>SUM(I2723:J2723)</f>
        <v>0</v>
      </c>
      <c r="L2723" s="80"/>
    </row>
    <row r="2724" spans="1:12" s="82" customFormat="1" ht="13.5" customHeight="1">
      <c r="A2724" s="407"/>
      <c r="C2724" s="149"/>
      <c r="D2724" s="447" t="s">
        <v>38</v>
      </c>
      <c r="E2724" s="447"/>
      <c r="F2724" s="447"/>
      <c r="G2724" s="447"/>
      <c r="H2724" s="447"/>
      <c r="I2724" s="253">
        <f>I2725+I2726+I2727+I2728+I2729+I2730</f>
        <v>989970</v>
      </c>
      <c r="J2724" s="253">
        <f>J2725+J2726+J2727+J2728+J2729+J2730</f>
        <v>60209</v>
      </c>
      <c r="K2724" s="253">
        <f>K2725+K2726+K2727+K2728+K2729+K2730</f>
        <v>1050179</v>
      </c>
      <c r="L2724" s="80"/>
    </row>
    <row r="2725" spans="1:12" s="82" customFormat="1" ht="13.5" customHeight="1">
      <c r="A2725" s="407"/>
      <c r="C2725" s="149"/>
      <c r="D2725" s="446" t="s">
        <v>289</v>
      </c>
      <c r="E2725" s="446"/>
      <c r="F2725" s="446"/>
      <c r="G2725" s="446"/>
      <c r="H2725" s="446"/>
      <c r="I2725" s="29">
        <f>179127+11658+100632</f>
        <v>291417</v>
      </c>
      <c r="J2725" s="80">
        <f>1342+4484</f>
        <v>5826</v>
      </c>
      <c r="K2725" s="29">
        <f aca="true" t="shared" si="188" ref="K2725:K2730">SUM(I2725:J2725)</f>
        <v>297243</v>
      </c>
      <c r="L2725" s="80"/>
    </row>
    <row r="2726" spans="1:12" s="82" customFormat="1" ht="12" customHeight="1">
      <c r="A2726" s="407"/>
      <c r="C2726" s="149"/>
      <c r="D2726" s="444" t="s">
        <v>8</v>
      </c>
      <c r="E2726" s="448"/>
      <c r="F2726" s="448"/>
      <c r="G2726" s="448"/>
      <c r="H2726" s="448"/>
      <c r="I2726" s="29">
        <f>269088+143217+133504</f>
        <v>545809</v>
      </c>
      <c r="J2726" s="80">
        <f>21000</f>
        <v>21000</v>
      </c>
      <c r="K2726" s="29">
        <f t="shared" si="188"/>
        <v>566809</v>
      </c>
      <c r="L2726" s="80"/>
    </row>
    <row r="2727" spans="1:12" s="82" customFormat="1" ht="13.5" customHeight="1" hidden="1">
      <c r="A2727" s="407"/>
      <c r="C2727" s="149"/>
      <c r="D2727" s="444" t="s">
        <v>10</v>
      </c>
      <c r="E2727" s="444"/>
      <c r="F2727" s="444"/>
      <c r="G2727" s="444"/>
      <c r="H2727" s="444"/>
      <c r="I2727" s="29"/>
      <c r="J2727" s="80"/>
      <c r="K2727" s="29">
        <f t="shared" si="188"/>
        <v>0</v>
      </c>
      <c r="L2727" s="80"/>
    </row>
    <row r="2728" spans="1:12" s="82" customFormat="1" ht="13.5" customHeight="1" hidden="1">
      <c r="A2728" s="407"/>
      <c r="C2728" s="149"/>
      <c r="D2728" s="444" t="s">
        <v>9</v>
      </c>
      <c r="E2728" s="444"/>
      <c r="F2728" s="444"/>
      <c r="G2728" s="444"/>
      <c r="H2728" s="444"/>
      <c r="I2728" s="29"/>
      <c r="J2728" s="80"/>
      <c r="K2728" s="29">
        <f t="shared" si="188"/>
        <v>0</v>
      </c>
      <c r="L2728" s="80"/>
    </row>
    <row r="2729" spans="1:12" s="82" customFormat="1" ht="13.5" customHeight="1">
      <c r="A2729" s="407"/>
      <c r="C2729" s="149"/>
      <c r="D2729" s="444" t="s">
        <v>11</v>
      </c>
      <c r="E2729" s="444"/>
      <c r="F2729" s="444"/>
      <c r="G2729" s="444"/>
      <c r="H2729" s="444"/>
      <c r="I2729" s="29">
        <f>12844+47000+4640+88260</f>
        <v>152744</v>
      </c>
      <c r="J2729" s="80">
        <f>33383</f>
        <v>33383</v>
      </c>
      <c r="K2729" s="29">
        <f t="shared" si="188"/>
        <v>186127</v>
      </c>
      <c r="L2729" s="80"/>
    </row>
    <row r="2730" spans="1:12" s="82" customFormat="1" ht="13.5" customHeight="1" hidden="1">
      <c r="A2730" s="407"/>
      <c r="C2730" s="149"/>
      <c r="D2730" s="444" t="s">
        <v>12</v>
      </c>
      <c r="E2730" s="444"/>
      <c r="F2730" s="444"/>
      <c r="G2730" s="444"/>
      <c r="H2730" s="444"/>
      <c r="I2730" s="29"/>
      <c r="J2730" s="80"/>
      <c r="K2730" s="29">
        <f t="shared" si="188"/>
        <v>0</v>
      </c>
      <c r="L2730" s="80"/>
    </row>
    <row r="2731" spans="1:12" s="82" customFormat="1" ht="13.5" customHeight="1">
      <c r="A2731" s="407"/>
      <c r="C2731" s="149"/>
      <c r="D2731" s="445" t="s">
        <v>277</v>
      </c>
      <c r="E2731" s="445"/>
      <c r="F2731" s="445"/>
      <c r="G2731" s="445"/>
      <c r="H2731" s="445"/>
      <c r="I2731" s="77">
        <f>I2720-I2724</f>
        <v>-21279</v>
      </c>
      <c r="J2731" s="77">
        <f>J2720-J2724</f>
        <v>0</v>
      </c>
      <c r="K2731" s="77">
        <f>K2720-K2724</f>
        <v>-21279</v>
      </c>
      <c r="L2731" s="80"/>
    </row>
    <row r="2732" spans="1:12" s="82" customFormat="1" ht="13.5" customHeight="1">
      <c r="A2732" s="407"/>
      <c r="C2732" s="149"/>
      <c r="D2732" s="444" t="s">
        <v>279</v>
      </c>
      <c r="E2732" s="444"/>
      <c r="F2732" s="444"/>
      <c r="G2732" s="444"/>
      <c r="H2732" s="444"/>
      <c r="I2732" s="29">
        <f>I2733+I2734+I2735</f>
        <v>21279</v>
      </c>
      <c r="J2732" s="29">
        <f>J2733+J2734+J2735</f>
        <v>0</v>
      </c>
      <c r="K2732" s="29">
        <f>K2733+K2734+K2735</f>
        <v>21279</v>
      </c>
      <c r="L2732" s="80"/>
    </row>
    <row r="2733" spans="1:12" s="82" customFormat="1" ht="13.5" customHeight="1">
      <c r="A2733" s="407"/>
      <c r="C2733" s="149"/>
      <c r="D2733" s="444" t="s">
        <v>278</v>
      </c>
      <c r="E2733" s="444"/>
      <c r="F2733" s="444"/>
      <c r="G2733" s="444"/>
      <c r="H2733" s="444"/>
      <c r="I2733" s="29">
        <v>21279</v>
      </c>
      <c r="J2733" s="77"/>
      <c r="K2733" s="80">
        <f>SUM(I2733:J2733)</f>
        <v>21279</v>
      </c>
      <c r="L2733" s="80"/>
    </row>
    <row r="2734" spans="1:12" s="82" customFormat="1" ht="13.5" customHeight="1" hidden="1">
      <c r="A2734" s="407"/>
      <c r="C2734" s="149"/>
      <c r="D2734" s="444" t="s">
        <v>280</v>
      </c>
      <c r="E2734" s="444"/>
      <c r="F2734" s="444"/>
      <c r="G2734" s="444"/>
      <c r="H2734" s="444"/>
      <c r="I2734" s="29"/>
      <c r="J2734" s="77"/>
      <c r="K2734" s="80">
        <f>SUM(I2734:J2734)</f>
        <v>0</v>
      </c>
      <c r="L2734" s="80"/>
    </row>
    <row r="2735" spans="1:12" s="82" customFormat="1" ht="13.5" customHeight="1" hidden="1">
      <c r="A2735" s="407"/>
      <c r="C2735" s="149"/>
      <c r="D2735" s="444" t="s">
        <v>281</v>
      </c>
      <c r="E2735" s="444"/>
      <c r="F2735" s="444"/>
      <c r="G2735" s="444"/>
      <c r="H2735" s="444"/>
      <c r="I2735" s="29"/>
      <c r="J2735" s="77"/>
      <c r="K2735" s="80">
        <f>SUM(I2735:J2735)</f>
        <v>0</v>
      </c>
      <c r="L2735" s="80"/>
    </row>
    <row r="2736" spans="1:12" s="82" customFormat="1" ht="24" customHeight="1">
      <c r="A2736" s="407"/>
      <c r="C2736" s="149"/>
      <c r="D2736" s="85"/>
      <c r="E2736" s="85"/>
      <c r="F2736" s="85"/>
      <c r="G2736" s="85"/>
      <c r="H2736" s="85"/>
      <c r="I2736" s="29"/>
      <c r="J2736" s="80"/>
      <c r="K2736" s="29"/>
      <c r="L2736" s="80"/>
    </row>
    <row r="2737" spans="1:12" s="82" customFormat="1" ht="0.75" customHeight="1">
      <c r="A2737" s="407"/>
      <c r="C2737" s="149"/>
      <c r="D2737" s="85"/>
      <c r="E2737" s="85"/>
      <c r="F2737" s="85"/>
      <c r="G2737" s="85"/>
      <c r="H2737" s="85"/>
      <c r="I2737" s="29"/>
      <c r="J2737" s="80"/>
      <c r="K2737" s="29"/>
      <c r="L2737" s="80"/>
    </row>
    <row r="2738" spans="1:12" s="95" customFormat="1" ht="13.5" customHeight="1">
      <c r="A2738" s="407"/>
      <c r="C2738" s="159" t="s">
        <v>388</v>
      </c>
      <c r="D2738" s="450" t="s">
        <v>421</v>
      </c>
      <c r="E2738" s="450"/>
      <c r="F2738" s="450"/>
      <c r="G2738" s="450"/>
      <c r="H2738" s="450"/>
      <c r="I2738" s="129"/>
      <c r="J2738" s="127"/>
      <c r="K2738" s="129"/>
      <c r="L2738" s="127"/>
    </row>
    <row r="2739" spans="1:12" s="82" customFormat="1" ht="13.5" customHeight="1">
      <c r="A2739" s="407"/>
      <c r="C2739" s="149"/>
      <c r="D2739" s="447" t="s">
        <v>37</v>
      </c>
      <c r="E2739" s="447"/>
      <c r="F2739" s="447"/>
      <c r="G2739" s="447"/>
      <c r="H2739" s="447"/>
      <c r="I2739" s="77">
        <f>SUM(I2740:I2742)</f>
        <v>3600</v>
      </c>
      <c r="J2739" s="77">
        <f>SUM(J2740:J2742)</f>
        <v>0</v>
      </c>
      <c r="K2739" s="77">
        <f>SUM(K2740:K2742)</f>
        <v>3600</v>
      </c>
      <c r="L2739" s="80"/>
    </row>
    <row r="2740" spans="1:12" s="82" customFormat="1" ht="12" customHeight="1">
      <c r="A2740" s="407"/>
      <c r="C2740" s="149"/>
      <c r="D2740" s="446" t="s">
        <v>5</v>
      </c>
      <c r="E2740" s="446"/>
      <c r="F2740" s="446"/>
      <c r="G2740" s="446"/>
      <c r="H2740" s="446"/>
      <c r="I2740" s="29">
        <v>3600</v>
      </c>
      <c r="J2740" s="80"/>
      <c r="K2740" s="29">
        <f>SUM(I2740:J2740)</f>
        <v>3600</v>
      </c>
      <c r="L2740" s="80"/>
    </row>
    <row r="2741" spans="1:12" s="82" customFormat="1" ht="13.5" customHeight="1" hidden="1">
      <c r="A2741" s="407"/>
      <c r="C2741" s="149"/>
      <c r="D2741" s="446" t="s">
        <v>6</v>
      </c>
      <c r="E2741" s="446"/>
      <c r="F2741" s="446"/>
      <c r="G2741" s="446"/>
      <c r="H2741" s="446"/>
      <c r="I2741" s="29"/>
      <c r="J2741" s="80"/>
      <c r="K2741" s="29">
        <f>SUM(I2741:J2741)</f>
        <v>0</v>
      </c>
      <c r="L2741" s="80"/>
    </row>
    <row r="2742" spans="1:12" s="82" customFormat="1" ht="13.5" customHeight="1" hidden="1">
      <c r="A2742" s="407"/>
      <c r="C2742" s="149"/>
      <c r="D2742" s="446" t="s">
        <v>7</v>
      </c>
      <c r="E2742" s="446"/>
      <c r="F2742" s="446"/>
      <c r="G2742" s="446"/>
      <c r="H2742" s="446"/>
      <c r="I2742" s="29"/>
      <c r="J2742" s="80"/>
      <c r="K2742" s="29">
        <f>SUM(I2742:J2742)</f>
        <v>0</v>
      </c>
      <c r="L2742" s="80"/>
    </row>
    <row r="2743" spans="1:12" s="82" customFormat="1" ht="12" customHeight="1">
      <c r="A2743" s="407"/>
      <c r="C2743" s="149"/>
      <c r="D2743" s="447" t="s">
        <v>38</v>
      </c>
      <c r="E2743" s="447"/>
      <c r="F2743" s="447"/>
      <c r="G2743" s="447"/>
      <c r="H2743" s="447"/>
      <c r="I2743" s="253">
        <f>I2744+I2745+I2746+I2747+I2748+I2749</f>
        <v>3600</v>
      </c>
      <c r="J2743" s="253">
        <f>J2744+J2745+J2746+J2747+J2748+J2749</f>
        <v>0</v>
      </c>
      <c r="K2743" s="253">
        <f>K2744+K2745+K2746+K2747+K2748+K2749</f>
        <v>3600</v>
      </c>
      <c r="L2743" s="80"/>
    </row>
    <row r="2744" spans="1:12" s="82" customFormat="1" ht="13.5" customHeight="1" hidden="1">
      <c r="A2744" s="407"/>
      <c r="C2744" s="149"/>
      <c r="D2744" s="446" t="s">
        <v>289</v>
      </c>
      <c r="E2744" s="446"/>
      <c r="F2744" s="446"/>
      <c r="G2744" s="446"/>
      <c r="H2744" s="446"/>
      <c r="I2744" s="29"/>
      <c r="J2744" s="80"/>
      <c r="K2744" s="29">
        <f aca="true" t="shared" si="189" ref="K2744:K2749">SUM(I2744:J2744)</f>
        <v>0</v>
      </c>
      <c r="L2744" s="80"/>
    </row>
    <row r="2745" spans="1:12" s="82" customFormat="1" ht="13.5" customHeight="1" hidden="1">
      <c r="A2745" s="407"/>
      <c r="C2745" s="149"/>
      <c r="D2745" s="444" t="s">
        <v>8</v>
      </c>
      <c r="E2745" s="448"/>
      <c r="F2745" s="448"/>
      <c r="G2745" s="448"/>
      <c r="H2745" s="448"/>
      <c r="I2745" s="29"/>
      <c r="J2745" s="80"/>
      <c r="K2745" s="29">
        <f t="shared" si="189"/>
        <v>0</v>
      </c>
      <c r="L2745" s="80"/>
    </row>
    <row r="2746" spans="1:12" s="82" customFormat="1" ht="13.5" customHeight="1" hidden="1">
      <c r="A2746" s="407"/>
      <c r="C2746" s="149"/>
      <c r="D2746" s="444" t="s">
        <v>10</v>
      </c>
      <c r="E2746" s="444"/>
      <c r="F2746" s="444"/>
      <c r="G2746" s="444"/>
      <c r="H2746" s="444"/>
      <c r="I2746" s="29"/>
      <c r="J2746" s="80"/>
      <c r="K2746" s="29">
        <f t="shared" si="189"/>
        <v>0</v>
      </c>
      <c r="L2746" s="80"/>
    </row>
    <row r="2747" spans="1:12" s="82" customFormat="1" ht="13.5" customHeight="1" hidden="1">
      <c r="A2747" s="407"/>
      <c r="C2747" s="149"/>
      <c r="D2747" s="444" t="s">
        <v>9</v>
      </c>
      <c r="E2747" s="444"/>
      <c r="F2747" s="444"/>
      <c r="G2747" s="444"/>
      <c r="H2747" s="444"/>
      <c r="I2747" s="29"/>
      <c r="J2747" s="80"/>
      <c r="K2747" s="29">
        <f t="shared" si="189"/>
        <v>0</v>
      </c>
      <c r="L2747" s="80"/>
    </row>
    <row r="2748" spans="1:12" s="82" customFormat="1" ht="13.5" customHeight="1" hidden="1">
      <c r="A2748" s="407"/>
      <c r="C2748" s="149"/>
      <c r="D2748" s="444" t="s">
        <v>11</v>
      </c>
      <c r="E2748" s="444"/>
      <c r="F2748" s="444"/>
      <c r="G2748" s="444"/>
      <c r="H2748" s="444"/>
      <c r="I2748" s="29"/>
      <c r="J2748" s="80"/>
      <c r="K2748" s="29">
        <f t="shared" si="189"/>
        <v>0</v>
      </c>
      <c r="L2748" s="80"/>
    </row>
    <row r="2749" spans="1:12" s="82" customFormat="1" ht="13.5" customHeight="1">
      <c r="A2749" s="407"/>
      <c r="C2749" s="149"/>
      <c r="D2749" s="444" t="s">
        <v>12</v>
      </c>
      <c r="E2749" s="444"/>
      <c r="F2749" s="444"/>
      <c r="G2749" s="444"/>
      <c r="H2749" s="444"/>
      <c r="I2749" s="29">
        <v>3600</v>
      </c>
      <c r="J2749" s="80"/>
      <c r="K2749" s="29">
        <f t="shared" si="189"/>
        <v>3600</v>
      </c>
      <c r="L2749" s="80"/>
    </row>
    <row r="2750" spans="1:12" s="82" customFormat="1" ht="13.5" customHeight="1">
      <c r="A2750" s="407"/>
      <c r="C2750" s="149"/>
      <c r="D2750" s="445" t="s">
        <v>277</v>
      </c>
      <c r="E2750" s="445"/>
      <c r="F2750" s="445"/>
      <c r="G2750" s="445"/>
      <c r="H2750" s="445"/>
      <c r="I2750" s="77">
        <f>I2739-I2743</f>
        <v>0</v>
      </c>
      <c r="J2750" s="77">
        <f>J2739-J2743</f>
        <v>0</v>
      </c>
      <c r="K2750" s="77">
        <f>K2739-K2743</f>
        <v>0</v>
      </c>
      <c r="L2750" s="80"/>
    </row>
    <row r="2751" spans="1:12" s="82" customFormat="1" ht="14.25" customHeight="1">
      <c r="A2751" s="407"/>
      <c r="C2751" s="149"/>
      <c r="D2751" s="444" t="s">
        <v>279</v>
      </c>
      <c r="E2751" s="444"/>
      <c r="F2751" s="444"/>
      <c r="G2751" s="444"/>
      <c r="H2751" s="444"/>
      <c r="I2751" s="29">
        <f>I2752+I2753+I2754</f>
        <v>0</v>
      </c>
      <c r="J2751" s="29">
        <f>J2752+J2753+J2754</f>
        <v>0</v>
      </c>
      <c r="K2751" s="29">
        <f>K2752+K2753+K2754</f>
        <v>0</v>
      </c>
      <c r="L2751" s="80"/>
    </row>
    <row r="2752" spans="1:12" s="82" customFormat="1" ht="15" customHeight="1" hidden="1">
      <c r="A2752" s="407"/>
      <c r="C2752" s="149"/>
      <c r="D2752" s="444" t="s">
        <v>278</v>
      </c>
      <c r="E2752" s="444"/>
      <c r="F2752" s="444"/>
      <c r="G2752" s="444"/>
      <c r="H2752" s="444"/>
      <c r="I2752" s="29"/>
      <c r="J2752" s="77"/>
      <c r="K2752" s="80">
        <f>SUM(I2752:J2752)</f>
        <v>0</v>
      </c>
      <c r="L2752" s="80"/>
    </row>
    <row r="2753" spans="1:12" s="82" customFormat="1" ht="15" customHeight="1" hidden="1">
      <c r="A2753" s="407"/>
      <c r="C2753" s="149"/>
      <c r="D2753" s="444" t="s">
        <v>280</v>
      </c>
      <c r="E2753" s="444"/>
      <c r="F2753" s="444"/>
      <c r="G2753" s="444"/>
      <c r="H2753" s="444"/>
      <c r="I2753" s="29"/>
      <c r="J2753" s="77"/>
      <c r="K2753" s="80">
        <f>SUM(I2753:J2753)</f>
        <v>0</v>
      </c>
      <c r="L2753" s="80"/>
    </row>
    <row r="2754" spans="1:12" s="82" customFormat="1" ht="15" customHeight="1" hidden="1">
      <c r="A2754" s="407"/>
      <c r="C2754" s="149"/>
      <c r="D2754" s="444" t="s">
        <v>281</v>
      </c>
      <c r="E2754" s="444"/>
      <c r="F2754" s="444"/>
      <c r="G2754" s="444"/>
      <c r="H2754" s="444"/>
      <c r="I2754" s="29"/>
      <c r="J2754" s="77"/>
      <c r="K2754" s="80">
        <f>SUM(I2754:J2754)</f>
        <v>0</v>
      </c>
      <c r="L2754" s="80"/>
    </row>
    <row r="2755" spans="1:12" s="82" customFormat="1" ht="1.5" customHeight="1">
      <c r="A2755" s="407"/>
      <c r="C2755" s="149"/>
      <c r="D2755" s="85"/>
      <c r="E2755" s="85"/>
      <c r="F2755" s="85"/>
      <c r="G2755" s="85"/>
      <c r="H2755" s="85"/>
      <c r="I2755" s="29"/>
      <c r="J2755" s="80"/>
      <c r="K2755" s="29"/>
      <c r="L2755" s="80"/>
    </row>
    <row r="2756" spans="1:12" s="82" customFormat="1" ht="30" customHeight="1">
      <c r="A2756" s="407"/>
      <c r="C2756" s="149"/>
      <c r="D2756" s="85"/>
      <c r="E2756" s="85"/>
      <c r="F2756" s="85"/>
      <c r="G2756" s="85"/>
      <c r="H2756" s="85"/>
      <c r="I2756" s="29"/>
      <c r="J2756" s="80"/>
      <c r="K2756" s="29"/>
      <c r="L2756" s="80"/>
    </row>
    <row r="2757" spans="1:12" s="82" customFormat="1" ht="14.25" customHeight="1">
      <c r="A2757" s="407"/>
      <c r="C2757" s="159" t="s">
        <v>516</v>
      </c>
      <c r="D2757" s="450" t="s">
        <v>264</v>
      </c>
      <c r="E2757" s="450"/>
      <c r="F2757" s="450"/>
      <c r="G2757" s="450"/>
      <c r="H2757" s="450"/>
      <c r="I2757" s="129"/>
      <c r="J2757" s="127"/>
      <c r="K2757" s="129"/>
      <c r="L2757" s="80"/>
    </row>
    <row r="2758" spans="1:12" s="82" customFormat="1" ht="12.75" customHeight="1">
      <c r="A2758" s="407"/>
      <c r="C2758" s="149"/>
      <c r="D2758" s="447" t="s">
        <v>37</v>
      </c>
      <c r="E2758" s="447"/>
      <c r="F2758" s="447"/>
      <c r="G2758" s="447"/>
      <c r="H2758" s="447"/>
      <c r="I2758" s="77">
        <f>SUM(I2759:I2761)</f>
        <v>375000</v>
      </c>
      <c r="J2758" s="77">
        <f>SUM(J2759:J2761)</f>
        <v>0</v>
      </c>
      <c r="K2758" s="77">
        <f>SUM(K2759:K2761)</f>
        <v>375000</v>
      </c>
      <c r="L2758" s="80"/>
    </row>
    <row r="2759" spans="1:12" s="82" customFormat="1" ht="14.25" customHeight="1" hidden="1">
      <c r="A2759" s="407"/>
      <c r="C2759" s="149"/>
      <c r="D2759" s="446" t="s">
        <v>5</v>
      </c>
      <c r="E2759" s="446"/>
      <c r="F2759" s="446"/>
      <c r="G2759" s="446"/>
      <c r="H2759" s="446"/>
      <c r="I2759" s="29"/>
      <c r="J2759" s="80"/>
      <c r="K2759" s="29">
        <f>SUM(I2759:J2759)</f>
        <v>0</v>
      </c>
      <c r="L2759" s="80"/>
    </row>
    <row r="2760" spans="1:12" s="82" customFormat="1" ht="14.25" customHeight="1" hidden="1">
      <c r="A2760" s="407"/>
      <c r="C2760" s="149"/>
      <c r="D2760" s="446" t="s">
        <v>6</v>
      </c>
      <c r="E2760" s="446"/>
      <c r="F2760" s="446"/>
      <c r="G2760" s="446"/>
      <c r="H2760" s="446"/>
      <c r="I2760" s="29"/>
      <c r="J2760" s="80"/>
      <c r="K2760" s="29">
        <f>SUM(I2760:J2760)</f>
        <v>0</v>
      </c>
      <c r="L2760" s="80"/>
    </row>
    <row r="2761" spans="1:12" s="82" customFormat="1" ht="12.75" customHeight="1">
      <c r="A2761" s="407"/>
      <c r="C2761" s="149"/>
      <c r="D2761" s="446" t="s">
        <v>7</v>
      </c>
      <c r="E2761" s="446"/>
      <c r="F2761" s="446"/>
      <c r="G2761" s="446"/>
      <c r="H2761" s="446"/>
      <c r="I2761" s="29">
        <f>375000</f>
        <v>375000</v>
      </c>
      <c r="J2761" s="80"/>
      <c r="K2761" s="29">
        <f>SUM(I2761:J2761)</f>
        <v>375000</v>
      </c>
      <c r="L2761" s="80"/>
    </row>
    <row r="2762" spans="1:12" s="82" customFormat="1" ht="12.75" customHeight="1">
      <c r="A2762" s="407"/>
      <c r="C2762" s="149"/>
      <c r="D2762" s="447" t="s">
        <v>38</v>
      </c>
      <c r="E2762" s="447"/>
      <c r="F2762" s="447"/>
      <c r="G2762" s="447"/>
      <c r="H2762" s="447"/>
      <c r="I2762" s="253">
        <f>I2763+I2764+I2765+I2766+I2767+I2768</f>
        <v>375000</v>
      </c>
      <c r="J2762" s="253">
        <f>J2763+J2764+J2765+J2766+J2767+J2768</f>
        <v>0</v>
      </c>
      <c r="K2762" s="253">
        <f>K2763+K2764+K2765+K2766+K2767+K2768</f>
        <v>375000</v>
      </c>
      <c r="L2762" s="80"/>
    </row>
    <row r="2763" spans="1:12" s="82" customFormat="1" ht="14.25" customHeight="1" hidden="1">
      <c r="A2763" s="407"/>
      <c r="C2763" s="149"/>
      <c r="D2763" s="446" t="s">
        <v>289</v>
      </c>
      <c r="E2763" s="446"/>
      <c r="F2763" s="446"/>
      <c r="G2763" s="446"/>
      <c r="H2763" s="446"/>
      <c r="I2763" s="29"/>
      <c r="J2763" s="80"/>
      <c r="K2763" s="29">
        <f aca="true" t="shared" si="190" ref="K2763:K2768">SUM(I2763:J2763)</f>
        <v>0</v>
      </c>
      <c r="L2763" s="80"/>
    </row>
    <row r="2764" spans="1:12" s="82" customFormat="1" ht="12" customHeight="1">
      <c r="A2764" s="407"/>
      <c r="C2764" s="149"/>
      <c r="D2764" s="444" t="s">
        <v>8</v>
      </c>
      <c r="E2764" s="448"/>
      <c r="F2764" s="448"/>
      <c r="G2764" s="448"/>
      <c r="H2764" s="448"/>
      <c r="I2764" s="29">
        <v>2500</v>
      </c>
      <c r="J2764" s="80"/>
      <c r="K2764" s="29">
        <f t="shared" si="190"/>
        <v>2500</v>
      </c>
      <c r="L2764" s="80"/>
    </row>
    <row r="2765" spans="1:12" s="82" customFormat="1" ht="14.25" customHeight="1" hidden="1">
      <c r="A2765" s="407"/>
      <c r="C2765" s="149"/>
      <c r="D2765" s="444" t="s">
        <v>10</v>
      </c>
      <c r="E2765" s="444"/>
      <c r="F2765" s="444"/>
      <c r="G2765" s="444"/>
      <c r="H2765" s="444"/>
      <c r="I2765" s="29"/>
      <c r="J2765" s="80"/>
      <c r="K2765" s="29">
        <f t="shared" si="190"/>
        <v>0</v>
      </c>
      <c r="L2765" s="80"/>
    </row>
    <row r="2766" spans="1:12" s="82" customFormat="1" ht="14.25" customHeight="1" hidden="1">
      <c r="A2766" s="407"/>
      <c r="C2766" s="149"/>
      <c r="D2766" s="444" t="s">
        <v>9</v>
      </c>
      <c r="E2766" s="444"/>
      <c r="F2766" s="444"/>
      <c r="G2766" s="444"/>
      <c r="H2766" s="444"/>
      <c r="I2766" s="29"/>
      <c r="J2766" s="80"/>
      <c r="K2766" s="29">
        <f t="shared" si="190"/>
        <v>0</v>
      </c>
      <c r="L2766" s="80"/>
    </row>
    <row r="2767" spans="1:12" s="82" customFormat="1" ht="12.75" customHeight="1">
      <c r="A2767" s="407"/>
      <c r="C2767" s="149"/>
      <c r="D2767" s="444" t="s">
        <v>11</v>
      </c>
      <c r="E2767" s="444"/>
      <c r="F2767" s="444"/>
      <c r="G2767" s="444"/>
      <c r="H2767" s="444"/>
      <c r="I2767" s="29">
        <v>372500</v>
      </c>
      <c r="J2767" s="80"/>
      <c r="K2767" s="29">
        <f t="shared" si="190"/>
        <v>372500</v>
      </c>
      <c r="L2767" s="80"/>
    </row>
    <row r="2768" spans="1:12" s="82" customFormat="1" ht="14.25" customHeight="1" hidden="1">
      <c r="A2768" s="407"/>
      <c r="C2768" s="149"/>
      <c r="D2768" s="444" t="s">
        <v>12</v>
      </c>
      <c r="E2768" s="444"/>
      <c r="F2768" s="444"/>
      <c r="G2768" s="444"/>
      <c r="H2768" s="444"/>
      <c r="I2768" s="29"/>
      <c r="J2768" s="80"/>
      <c r="K2768" s="29">
        <f t="shared" si="190"/>
        <v>0</v>
      </c>
      <c r="L2768" s="80"/>
    </row>
    <row r="2769" spans="1:12" s="82" customFormat="1" ht="12.75" customHeight="1">
      <c r="A2769" s="407"/>
      <c r="C2769" s="149"/>
      <c r="D2769" s="445" t="s">
        <v>277</v>
      </c>
      <c r="E2769" s="445"/>
      <c r="F2769" s="445"/>
      <c r="G2769" s="445"/>
      <c r="H2769" s="445"/>
      <c r="I2769" s="77">
        <f>I2758-I2762</f>
        <v>0</v>
      </c>
      <c r="J2769" s="77">
        <f>J2758-J2762</f>
        <v>0</v>
      </c>
      <c r="K2769" s="77">
        <f>K2758-K2762</f>
        <v>0</v>
      </c>
      <c r="L2769" s="80"/>
    </row>
    <row r="2770" spans="1:12" s="82" customFormat="1" ht="12" customHeight="1">
      <c r="A2770" s="407"/>
      <c r="C2770" s="149"/>
      <c r="D2770" s="444" t="s">
        <v>279</v>
      </c>
      <c r="E2770" s="444"/>
      <c r="F2770" s="444"/>
      <c r="G2770" s="444"/>
      <c r="H2770" s="444"/>
      <c r="I2770" s="29">
        <f>I2771+I2772+I2773</f>
        <v>0</v>
      </c>
      <c r="J2770" s="29">
        <f>J2771+J2772+J2773</f>
        <v>0</v>
      </c>
      <c r="K2770" s="29">
        <f>K2771+K2772+K2773</f>
        <v>0</v>
      </c>
      <c r="L2770" s="80"/>
    </row>
    <row r="2771" spans="1:12" s="82" customFormat="1" ht="14.25" customHeight="1" hidden="1">
      <c r="A2771" s="407"/>
      <c r="C2771" s="149"/>
      <c r="D2771" s="444" t="s">
        <v>278</v>
      </c>
      <c r="E2771" s="444"/>
      <c r="F2771" s="444"/>
      <c r="G2771" s="444"/>
      <c r="H2771" s="444"/>
      <c r="I2771" s="29"/>
      <c r="J2771" s="77"/>
      <c r="K2771" s="80">
        <f>SUM(I2771:J2771)</f>
        <v>0</v>
      </c>
      <c r="L2771" s="80"/>
    </row>
    <row r="2772" spans="1:12" s="82" customFormat="1" ht="14.25" customHeight="1" hidden="1">
      <c r="A2772" s="407"/>
      <c r="C2772" s="149"/>
      <c r="D2772" s="444" t="s">
        <v>280</v>
      </c>
      <c r="E2772" s="444"/>
      <c r="F2772" s="444"/>
      <c r="G2772" s="444"/>
      <c r="H2772" s="444"/>
      <c r="I2772" s="29"/>
      <c r="J2772" s="29"/>
      <c r="K2772" s="80">
        <f>SUM(I2772:J2772)</f>
        <v>0</v>
      </c>
      <c r="L2772" s="80"/>
    </row>
    <row r="2773" spans="1:12" s="82" customFormat="1" ht="14.25" customHeight="1" hidden="1">
      <c r="A2773" s="407"/>
      <c r="C2773" s="149"/>
      <c r="D2773" s="444" t="s">
        <v>281</v>
      </c>
      <c r="E2773" s="444"/>
      <c r="F2773" s="444"/>
      <c r="G2773" s="444"/>
      <c r="H2773" s="444"/>
      <c r="I2773" s="29"/>
      <c r="J2773" s="77"/>
      <c r="K2773" s="80">
        <f>SUM(I2773:J2773)</f>
        <v>0</v>
      </c>
      <c r="L2773" s="80"/>
    </row>
    <row r="2774" spans="1:12" s="82" customFormat="1" ht="33" customHeight="1">
      <c r="A2774" s="407"/>
      <c r="C2774" s="149"/>
      <c r="D2774" s="85"/>
      <c r="E2774" s="85"/>
      <c r="F2774" s="85"/>
      <c r="G2774" s="85"/>
      <c r="H2774" s="85"/>
      <c r="I2774" s="29"/>
      <c r="J2774" s="80"/>
      <c r="K2774" s="29"/>
      <c r="L2774" s="80"/>
    </row>
    <row r="2775" spans="1:12" s="82" customFormat="1" ht="0.75" customHeight="1" hidden="1">
      <c r="A2775" s="407"/>
      <c r="C2775" s="149"/>
      <c r="D2775" s="85"/>
      <c r="E2775" s="85"/>
      <c r="F2775" s="85"/>
      <c r="G2775" s="85"/>
      <c r="H2775" s="85"/>
      <c r="I2775" s="29"/>
      <c r="J2775" s="80"/>
      <c r="K2775" s="29"/>
      <c r="L2775" s="80"/>
    </row>
    <row r="2776" spans="1:12" s="95" customFormat="1" ht="13.5" customHeight="1">
      <c r="A2776" s="407"/>
      <c r="C2776" s="159" t="s">
        <v>109</v>
      </c>
      <c r="D2776" s="450" t="s">
        <v>264</v>
      </c>
      <c r="E2776" s="450"/>
      <c r="F2776" s="450"/>
      <c r="G2776" s="450"/>
      <c r="H2776" s="450"/>
      <c r="I2776" s="129"/>
      <c r="J2776" s="127"/>
      <c r="K2776" s="129"/>
      <c r="L2776" s="127"/>
    </row>
    <row r="2777" spans="1:12" s="82" customFormat="1" ht="12.75" customHeight="1">
      <c r="A2777" s="407"/>
      <c r="C2777" s="149"/>
      <c r="D2777" s="447" t="s">
        <v>37</v>
      </c>
      <c r="E2777" s="447"/>
      <c r="F2777" s="447"/>
      <c r="G2777" s="447"/>
      <c r="H2777" s="447"/>
      <c r="I2777" s="77">
        <f>SUM(I2778:I2780)</f>
        <v>2819208</v>
      </c>
      <c r="J2777" s="77">
        <f>SUM(J2778:J2780)</f>
        <v>0</v>
      </c>
      <c r="K2777" s="77">
        <f>SUM(K2778:K2780)</f>
        <v>2819208</v>
      </c>
      <c r="L2777" s="80"/>
    </row>
    <row r="2778" spans="1:12" s="82" customFormat="1" ht="13.5" customHeight="1" hidden="1">
      <c r="A2778" s="407"/>
      <c r="C2778" s="149"/>
      <c r="D2778" s="446" t="s">
        <v>5</v>
      </c>
      <c r="E2778" s="446"/>
      <c r="F2778" s="446"/>
      <c r="G2778" s="446"/>
      <c r="H2778" s="446"/>
      <c r="I2778" s="29"/>
      <c r="J2778" s="80"/>
      <c r="K2778" s="29">
        <f>SUM(I2778:J2778)</f>
        <v>0</v>
      </c>
      <c r="L2778" s="80"/>
    </row>
    <row r="2779" spans="1:12" s="82" customFormat="1" ht="13.5" customHeight="1" hidden="1">
      <c r="A2779" s="407"/>
      <c r="C2779" s="149"/>
      <c r="D2779" s="446" t="s">
        <v>6</v>
      </c>
      <c r="E2779" s="446"/>
      <c r="F2779" s="446"/>
      <c r="G2779" s="446"/>
      <c r="H2779" s="446"/>
      <c r="I2779" s="29"/>
      <c r="J2779" s="80"/>
      <c r="K2779" s="29">
        <f>SUM(I2779:J2779)</f>
        <v>0</v>
      </c>
      <c r="L2779" s="80"/>
    </row>
    <row r="2780" spans="1:12" s="82" customFormat="1" ht="13.5" customHeight="1">
      <c r="A2780" s="407"/>
      <c r="C2780" s="149"/>
      <c r="D2780" s="446" t="s">
        <v>7</v>
      </c>
      <c r="E2780" s="446"/>
      <c r="F2780" s="446"/>
      <c r="G2780" s="446"/>
      <c r="H2780" s="446"/>
      <c r="I2780" s="29">
        <f>1589806+1229402</f>
        <v>2819208</v>
      </c>
      <c r="J2780" s="80"/>
      <c r="K2780" s="29">
        <f>SUM(I2780:J2780)</f>
        <v>2819208</v>
      </c>
      <c r="L2780" s="80"/>
    </row>
    <row r="2781" spans="1:12" s="82" customFormat="1" ht="12.75" customHeight="1">
      <c r="A2781" s="407"/>
      <c r="C2781" s="149"/>
      <c r="D2781" s="447" t="s">
        <v>38</v>
      </c>
      <c r="E2781" s="447"/>
      <c r="F2781" s="447"/>
      <c r="G2781" s="447"/>
      <c r="H2781" s="447"/>
      <c r="I2781" s="253">
        <f>I2782+I2783+I2784+I2785+I2786+I2787</f>
        <v>6039192</v>
      </c>
      <c r="J2781" s="253">
        <f>J2782+J2783+J2784+J2785+J2786+J2787</f>
        <v>0</v>
      </c>
      <c r="K2781" s="253">
        <f>K2782+K2783+K2784+K2785+K2786+K2787</f>
        <v>6039192</v>
      </c>
      <c r="L2781" s="80"/>
    </row>
    <row r="2782" spans="1:12" s="82" customFormat="1" ht="13.5" customHeight="1" hidden="1">
      <c r="A2782" s="407"/>
      <c r="C2782" s="149"/>
      <c r="D2782" s="446" t="s">
        <v>289</v>
      </c>
      <c r="E2782" s="446"/>
      <c r="F2782" s="446"/>
      <c r="G2782" s="446"/>
      <c r="H2782" s="446"/>
      <c r="I2782" s="29"/>
      <c r="J2782" s="80"/>
      <c r="K2782" s="29">
        <f aca="true" t="shared" si="191" ref="K2782:K2787">SUM(I2782:J2782)</f>
        <v>0</v>
      </c>
      <c r="L2782" s="80"/>
    </row>
    <row r="2783" spans="1:12" s="82" customFormat="1" ht="12.75" customHeight="1">
      <c r="A2783" s="407"/>
      <c r="C2783" s="149"/>
      <c r="D2783" s="444" t="s">
        <v>8</v>
      </c>
      <c r="E2783" s="448"/>
      <c r="F2783" s="448"/>
      <c r="G2783" s="448"/>
      <c r="H2783" s="448"/>
      <c r="I2783" s="29">
        <f>5051+2000</f>
        <v>7051</v>
      </c>
      <c r="J2783" s="80"/>
      <c r="K2783" s="29">
        <f t="shared" si="191"/>
        <v>7051</v>
      </c>
      <c r="L2783" s="80"/>
    </row>
    <row r="2784" spans="1:12" s="82" customFormat="1" ht="13.5" customHeight="1" hidden="1">
      <c r="A2784" s="407"/>
      <c r="C2784" s="149"/>
      <c r="D2784" s="444" t="s">
        <v>10</v>
      </c>
      <c r="E2784" s="444"/>
      <c r="F2784" s="444"/>
      <c r="G2784" s="444"/>
      <c r="H2784" s="444"/>
      <c r="I2784" s="29"/>
      <c r="J2784" s="80"/>
      <c r="K2784" s="29">
        <f t="shared" si="191"/>
        <v>0</v>
      </c>
      <c r="L2784" s="80"/>
    </row>
    <row r="2785" spans="1:12" s="82" customFormat="1" ht="13.5" customHeight="1" hidden="1">
      <c r="A2785" s="407"/>
      <c r="C2785" s="149"/>
      <c r="D2785" s="444" t="s">
        <v>9</v>
      </c>
      <c r="E2785" s="444"/>
      <c r="F2785" s="444"/>
      <c r="G2785" s="444"/>
      <c r="H2785" s="444"/>
      <c r="I2785" s="29"/>
      <c r="J2785" s="80"/>
      <c r="K2785" s="29">
        <f t="shared" si="191"/>
        <v>0</v>
      </c>
      <c r="L2785" s="80"/>
    </row>
    <row r="2786" spans="1:12" s="82" customFormat="1" ht="13.5" customHeight="1">
      <c r="A2786" s="407"/>
      <c r="C2786" s="149"/>
      <c r="D2786" s="444" t="s">
        <v>11</v>
      </c>
      <c r="E2786" s="444"/>
      <c r="F2786" s="444"/>
      <c r="G2786" s="444"/>
      <c r="H2786" s="444"/>
      <c r="I2786" s="29">
        <f>293389+160273+3242673+1227402+1108404</f>
        <v>6032141</v>
      </c>
      <c r="J2786" s="80"/>
      <c r="K2786" s="29">
        <f t="shared" si="191"/>
        <v>6032141</v>
      </c>
      <c r="L2786" s="80"/>
    </row>
    <row r="2787" spans="1:12" s="82" customFormat="1" ht="13.5" customHeight="1" hidden="1">
      <c r="A2787" s="407"/>
      <c r="C2787" s="149"/>
      <c r="D2787" s="444" t="s">
        <v>12</v>
      </c>
      <c r="E2787" s="444"/>
      <c r="F2787" s="444"/>
      <c r="G2787" s="444"/>
      <c r="H2787" s="444"/>
      <c r="I2787" s="29"/>
      <c r="J2787" s="80"/>
      <c r="K2787" s="29">
        <f t="shared" si="191"/>
        <v>0</v>
      </c>
      <c r="L2787" s="80"/>
    </row>
    <row r="2788" spans="1:12" s="82" customFormat="1" ht="13.5" customHeight="1">
      <c r="A2788" s="407"/>
      <c r="C2788" s="149"/>
      <c r="D2788" s="445" t="s">
        <v>277</v>
      </c>
      <c r="E2788" s="445"/>
      <c r="F2788" s="445"/>
      <c r="G2788" s="445"/>
      <c r="H2788" s="445"/>
      <c r="I2788" s="77">
        <f>I2777-I2781</f>
        <v>-3219984</v>
      </c>
      <c r="J2788" s="77">
        <f>J2777-J2781</f>
        <v>0</v>
      </c>
      <c r="K2788" s="77">
        <f>K2777-K2781</f>
        <v>-3219984</v>
      </c>
      <c r="L2788" s="80"/>
    </row>
    <row r="2789" spans="1:12" s="82" customFormat="1" ht="13.5" customHeight="1">
      <c r="A2789" s="407"/>
      <c r="C2789" s="149"/>
      <c r="D2789" s="444" t="s">
        <v>279</v>
      </c>
      <c r="E2789" s="444"/>
      <c r="F2789" s="444"/>
      <c r="G2789" s="444"/>
      <c r="H2789" s="444"/>
      <c r="I2789" s="29">
        <f>I2790+I2791+I2792</f>
        <v>3219984</v>
      </c>
      <c r="J2789" s="29">
        <f>J2790+J2791+J2792</f>
        <v>0</v>
      </c>
      <c r="K2789" s="29">
        <f>K2790+K2791+K2792</f>
        <v>3219984</v>
      </c>
      <c r="L2789" s="80"/>
    </row>
    <row r="2790" spans="1:12" s="82" customFormat="1" ht="13.5" customHeight="1">
      <c r="A2790" s="407"/>
      <c r="C2790" s="149"/>
      <c r="D2790" s="444" t="s">
        <v>278</v>
      </c>
      <c r="E2790" s="444"/>
      <c r="F2790" s="444"/>
      <c r="G2790" s="444"/>
      <c r="H2790" s="444"/>
      <c r="I2790" s="29">
        <f>293389+24783+1652867</f>
        <v>1971039</v>
      </c>
      <c r="J2790" s="77"/>
      <c r="K2790" s="80">
        <f>SUM(I2790:J2790)</f>
        <v>1971039</v>
      </c>
      <c r="L2790" s="80"/>
    </row>
    <row r="2791" spans="1:12" s="82" customFormat="1" ht="13.5" customHeight="1">
      <c r="A2791" s="407"/>
      <c r="C2791" s="149"/>
      <c r="D2791" s="444" t="s">
        <v>280</v>
      </c>
      <c r="E2791" s="444"/>
      <c r="F2791" s="444"/>
      <c r="G2791" s="444"/>
      <c r="H2791" s="444"/>
      <c r="I2791" s="29">
        <f>140541+1108404</f>
        <v>1248945</v>
      </c>
      <c r="J2791" s="29"/>
      <c r="K2791" s="80">
        <f>SUM(I2791:J2791)</f>
        <v>1248945</v>
      </c>
      <c r="L2791" s="80"/>
    </row>
    <row r="2792" spans="1:12" s="82" customFormat="1" ht="13.5" customHeight="1" hidden="1">
      <c r="A2792" s="407"/>
      <c r="C2792" s="149"/>
      <c r="D2792" s="444" t="s">
        <v>281</v>
      </c>
      <c r="E2792" s="444"/>
      <c r="F2792" s="444"/>
      <c r="G2792" s="444"/>
      <c r="H2792" s="444"/>
      <c r="I2792" s="29"/>
      <c r="J2792" s="77"/>
      <c r="K2792" s="80">
        <f>SUM(I2792:J2792)</f>
        <v>0</v>
      </c>
      <c r="L2792" s="80"/>
    </row>
    <row r="2793" spans="1:12" s="82" customFormat="1" ht="3" customHeight="1">
      <c r="A2793" s="407"/>
      <c r="C2793" s="149"/>
      <c r="D2793" s="85"/>
      <c r="E2793" s="85"/>
      <c r="F2793" s="85"/>
      <c r="G2793" s="85"/>
      <c r="H2793" s="85"/>
      <c r="I2793" s="29"/>
      <c r="J2793" s="80"/>
      <c r="K2793" s="29"/>
      <c r="L2793" s="80"/>
    </row>
    <row r="2794" spans="1:12" s="82" customFormat="1" ht="31.5" customHeight="1">
      <c r="A2794" s="407"/>
      <c r="C2794" s="149"/>
      <c r="D2794" s="85"/>
      <c r="E2794" s="85"/>
      <c r="F2794" s="85"/>
      <c r="G2794" s="85"/>
      <c r="H2794" s="85"/>
      <c r="I2794" s="29"/>
      <c r="J2794" s="80"/>
      <c r="K2794" s="29"/>
      <c r="L2794" s="80"/>
    </row>
    <row r="2795" spans="1:12" s="95" customFormat="1" ht="13.5" customHeight="1">
      <c r="A2795" s="407"/>
      <c r="C2795" s="159" t="s">
        <v>393</v>
      </c>
      <c r="D2795" s="450" t="s">
        <v>264</v>
      </c>
      <c r="E2795" s="450"/>
      <c r="F2795" s="450"/>
      <c r="G2795" s="450"/>
      <c r="H2795" s="450"/>
      <c r="I2795" s="129"/>
      <c r="J2795" s="127"/>
      <c r="K2795" s="129"/>
      <c r="L2795" s="127"/>
    </row>
    <row r="2796" spans="1:12" s="82" customFormat="1" ht="12.75" customHeight="1">
      <c r="A2796" s="407"/>
      <c r="C2796" s="149"/>
      <c r="D2796" s="447" t="s">
        <v>37</v>
      </c>
      <c r="E2796" s="447"/>
      <c r="F2796" s="447"/>
      <c r="G2796" s="447"/>
      <c r="H2796" s="447"/>
      <c r="I2796" s="77">
        <f>SUM(I2797:I2799)</f>
        <v>412469</v>
      </c>
      <c r="J2796" s="77">
        <f>SUM(J2797:J2799)</f>
        <v>0</v>
      </c>
      <c r="K2796" s="77">
        <f>SUM(K2797:K2799)</f>
        <v>412469</v>
      </c>
      <c r="L2796" s="80"/>
    </row>
    <row r="2797" spans="1:12" s="82" customFormat="1" ht="12.75" customHeight="1">
      <c r="A2797" s="407"/>
      <c r="C2797" s="149"/>
      <c r="D2797" s="446" t="s">
        <v>5</v>
      </c>
      <c r="E2797" s="446"/>
      <c r="F2797" s="446"/>
      <c r="G2797" s="446"/>
      <c r="H2797" s="446"/>
      <c r="I2797" s="29">
        <f>177321</f>
        <v>177321</v>
      </c>
      <c r="J2797" s="80"/>
      <c r="K2797" s="29">
        <f>SUM(I2797:J2797)</f>
        <v>177321</v>
      </c>
      <c r="L2797" s="80"/>
    </row>
    <row r="2798" spans="1:12" s="82" customFormat="1" ht="12.75" customHeight="1" hidden="1">
      <c r="A2798" s="407"/>
      <c r="C2798" s="149"/>
      <c r="D2798" s="446" t="s">
        <v>6</v>
      </c>
      <c r="E2798" s="446"/>
      <c r="F2798" s="446"/>
      <c r="G2798" s="446"/>
      <c r="H2798" s="446"/>
      <c r="I2798" s="29"/>
      <c r="J2798" s="80"/>
      <c r="K2798" s="29">
        <f>SUM(I2798:J2798)</f>
        <v>0</v>
      </c>
      <c r="L2798" s="80"/>
    </row>
    <row r="2799" spans="1:12" s="82" customFormat="1" ht="12.75" customHeight="1">
      <c r="A2799" s="407"/>
      <c r="C2799" s="149"/>
      <c r="D2799" s="446" t="s">
        <v>7</v>
      </c>
      <c r="E2799" s="446"/>
      <c r="F2799" s="446"/>
      <c r="G2799" s="446"/>
      <c r="H2799" s="446"/>
      <c r="I2799" s="29">
        <v>235148</v>
      </c>
      <c r="J2799" s="80"/>
      <c r="K2799" s="29">
        <f>SUM(I2799:J2799)</f>
        <v>235148</v>
      </c>
      <c r="L2799" s="80"/>
    </row>
    <row r="2800" spans="1:12" s="82" customFormat="1" ht="13.5" customHeight="1">
      <c r="A2800" s="407"/>
      <c r="C2800" s="149"/>
      <c r="D2800" s="447" t="s">
        <v>38</v>
      </c>
      <c r="E2800" s="447"/>
      <c r="F2800" s="447"/>
      <c r="G2800" s="447"/>
      <c r="H2800" s="447"/>
      <c r="I2800" s="253">
        <f>I2801+I2802+I2803+I2804+I2805+I2806</f>
        <v>514576</v>
      </c>
      <c r="J2800" s="253">
        <f>J2801+J2802+J2803+J2804+J2805+J2806</f>
        <v>0</v>
      </c>
      <c r="K2800" s="253">
        <f>K2801+K2802+K2803+K2804+K2805+K2806</f>
        <v>514576</v>
      </c>
      <c r="L2800" s="80"/>
    </row>
    <row r="2801" spans="1:12" s="82" customFormat="1" ht="13.5" customHeight="1" hidden="1">
      <c r="A2801" s="407"/>
      <c r="C2801" s="149"/>
      <c r="D2801" s="446" t="s">
        <v>289</v>
      </c>
      <c r="E2801" s="446"/>
      <c r="F2801" s="446"/>
      <c r="G2801" s="446"/>
      <c r="H2801" s="446"/>
      <c r="I2801" s="29"/>
      <c r="J2801" s="80"/>
      <c r="K2801" s="29">
        <f aca="true" t="shared" si="192" ref="K2801:K2806">SUM(I2801:J2801)</f>
        <v>0</v>
      </c>
      <c r="L2801" s="80"/>
    </row>
    <row r="2802" spans="1:12" s="82" customFormat="1" ht="12.75" customHeight="1">
      <c r="A2802" s="407"/>
      <c r="C2802" s="149"/>
      <c r="D2802" s="444" t="s">
        <v>8</v>
      </c>
      <c r="E2802" s="448"/>
      <c r="F2802" s="448"/>
      <c r="G2802" s="448"/>
      <c r="H2802" s="448"/>
      <c r="I2802" s="29">
        <f>245</f>
        <v>245</v>
      </c>
      <c r="J2802" s="80"/>
      <c r="K2802" s="29">
        <f t="shared" si="192"/>
        <v>245</v>
      </c>
      <c r="L2802" s="80"/>
    </row>
    <row r="2803" spans="1:12" s="82" customFormat="1" ht="13.5" customHeight="1" hidden="1">
      <c r="A2803" s="407"/>
      <c r="C2803" s="149"/>
      <c r="D2803" s="444" t="s">
        <v>10</v>
      </c>
      <c r="E2803" s="444"/>
      <c r="F2803" s="444"/>
      <c r="G2803" s="444"/>
      <c r="H2803" s="444"/>
      <c r="I2803" s="29"/>
      <c r="J2803" s="80"/>
      <c r="K2803" s="29">
        <f t="shared" si="192"/>
        <v>0</v>
      </c>
      <c r="L2803" s="80"/>
    </row>
    <row r="2804" spans="1:12" s="82" customFormat="1" ht="13.5" customHeight="1" hidden="1">
      <c r="A2804" s="407"/>
      <c r="C2804" s="149"/>
      <c r="D2804" s="444" t="s">
        <v>9</v>
      </c>
      <c r="E2804" s="444"/>
      <c r="F2804" s="444"/>
      <c r="G2804" s="444"/>
      <c r="H2804" s="444"/>
      <c r="I2804" s="29"/>
      <c r="J2804" s="80"/>
      <c r="K2804" s="29">
        <f t="shared" si="192"/>
        <v>0</v>
      </c>
      <c r="L2804" s="80"/>
    </row>
    <row r="2805" spans="1:12" s="82" customFormat="1" ht="13.5" customHeight="1">
      <c r="A2805" s="407"/>
      <c r="C2805" s="149"/>
      <c r="D2805" s="444" t="s">
        <v>11</v>
      </c>
      <c r="E2805" s="444"/>
      <c r="F2805" s="444"/>
      <c r="G2805" s="444"/>
      <c r="H2805" s="444"/>
      <c r="I2805" s="29">
        <f>337010+177321</f>
        <v>514331</v>
      </c>
      <c r="J2805" s="80"/>
      <c r="K2805" s="29">
        <f t="shared" si="192"/>
        <v>514331</v>
      </c>
      <c r="L2805" s="80"/>
    </row>
    <row r="2806" spans="1:12" s="82" customFormat="1" ht="13.5" customHeight="1" hidden="1">
      <c r="A2806" s="407"/>
      <c r="C2806" s="149"/>
      <c r="D2806" s="444" t="s">
        <v>12</v>
      </c>
      <c r="E2806" s="444"/>
      <c r="F2806" s="444"/>
      <c r="G2806" s="444"/>
      <c r="H2806" s="444"/>
      <c r="I2806" s="29"/>
      <c r="J2806" s="80"/>
      <c r="K2806" s="29">
        <f t="shared" si="192"/>
        <v>0</v>
      </c>
      <c r="L2806" s="80"/>
    </row>
    <row r="2807" spans="1:12" s="82" customFormat="1" ht="13.5" customHeight="1">
      <c r="A2807" s="407"/>
      <c r="C2807" s="149"/>
      <c r="D2807" s="445" t="s">
        <v>277</v>
      </c>
      <c r="E2807" s="445"/>
      <c r="F2807" s="445"/>
      <c r="G2807" s="445"/>
      <c r="H2807" s="445"/>
      <c r="I2807" s="77">
        <f>I2796-I2800</f>
        <v>-102107</v>
      </c>
      <c r="J2807" s="77">
        <f>J2796-J2800</f>
        <v>0</v>
      </c>
      <c r="K2807" s="77">
        <f>K2796-K2800</f>
        <v>-102107</v>
      </c>
      <c r="L2807" s="80"/>
    </row>
    <row r="2808" spans="1:12" s="82" customFormat="1" ht="13.5" customHeight="1">
      <c r="A2808" s="407"/>
      <c r="C2808" s="149"/>
      <c r="D2808" s="444" t="s">
        <v>279</v>
      </c>
      <c r="E2808" s="444"/>
      <c r="F2808" s="444"/>
      <c r="G2808" s="444"/>
      <c r="H2808" s="444"/>
      <c r="I2808" s="29">
        <f>I2809+I2810+I2811</f>
        <v>102107</v>
      </c>
      <c r="J2808" s="29">
        <f>J2809+J2810+J2811</f>
        <v>0</v>
      </c>
      <c r="K2808" s="29">
        <f>K2809+K2810+K2811</f>
        <v>102107</v>
      </c>
      <c r="L2808" s="80"/>
    </row>
    <row r="2809" spans="1:12" s="82" customFormat="1" ht="14.25" customHeight="1">
      <c r="A2809" s="407"/>
      <c r="C2809" s="149"/>
      <c r="D2809" s="444" t="s">
        <v>278</v>
      </c>
      <c r="E2809" s="444"/>
      <c r="F2809" s="444"/>
      <c r="G2809" s="444"/>
      <c r="H2809" s="444"/>
      <c r="I2809" s="29">
        <f>102107</f>
        <v>102107</v>
      </c>
      <c r="J2809" s="77"/>
      <c r="K2809" s="80">
        <f>SUM(I2809:J2809)</f>
        <v>102107</v>
      </c>
      <c r="L2809" s="80"/>
    </row>
    <row r="2810" spans="1:12" s="82" customFormat="1" ht="13.5" customHeight="1" hidden="1">
      <c r="A2810" s="407"/>
      <c r="C2810" s="149"/>
      <c r="D2810" s="444" t="s">
        <v>280</v>
      </c>
      <c r="E2810" s="444"/>
      <c r="F2810" s="444"/>
      <c r="G2810" s="444"/>
      <c r="H2810" s="444"/>
      <c r="I2810" s="29"/>
      <c r="J2810" s="77"/>
      <c r="K2810" s="80">
        <f>SUM(I2810:J2810)</f>
        <v>0</v>
      </c>
      <c r="L2810" s="80"/>
    </row>
    <row r="2811" spans="1:12" s="82" customFormat="1" ht="13.5" customHeight="1" hidden="1">
      <c r="A2811" s="407"/>
      <c r="C2811" s="149"/>
      <c r="D2811" s="444" t="s">
        <v>281</v>
      </c>
      <c r="E2811" s="444"/>
      <c r="F2811" s="444"/>
      <c r="G2811" s="444"/>
      <c r="H2811" s="444"/>
      <c r="I2811" s="29"/>
      <c r="J2811" s="77"/>
      <c r="K2811" s="80">
        <f>SUM(I2811:J2811)</f>
        <v>0</v>
      </c>
      <c r="L2811" s="80"/>
    </row>
    <row r="2812" spans="1:12" s="82" customFormat="1" ht="1.5" customHeight="1" hidden="1">
      <c r="A2812" s="407"/>
      <c r="C2812" s="149"/>
      <c r="D2812" s="85"/>
      <c r="E2812" s="85"/>
      <c r="F2812" s="85"/>
      <c r="G2812" s="85"/>
      <c r="H2812" s="85"/>
      <c r="I2812" s="29"/>
      <c r="J2812" s="80"/>
      <c r="K2812" s="29"/>
      <c r="L2812" s="80"/>
    </row>
    <row r="2813" spans="1:12" s="82" customFormat="1" ht="30.75" customHeight="1">
      <c r="A2813" s="407"/>
      <c r="C2813" s="149"/>
      <c r="D2813" s="85"/>
      <c r="E2813" s="85"/>
      <c r="F2813" s="85"/>
      <c r="G2813" s="85"/>
      <c r="H2813" s="85"/>
      <c r="I2813" s="29"/>
      <c r="J2813" s="80"/>
      <c r="K2813" s="29"/>
      <c r="L2813" s="80"/>
    </row>
    <row r="2814" spans="1:12" s="267" customFormat="1" ht="13.5" customHeight="1">
      <c r="A2814" s="416"/>
      <c r="C2814" s="142" t="s">
        <v>99</v>
      </c>
      <c r="D2814" s="435" t="s">
        <v>100</v>
      </c>
      <c r="E2814" s="435"/>
      <c r="F2814" s="435"/>
      <c r="G2814" s="435"/>
      <c r="H2814" s="435"/>
      <c r="I2814" s="265"/>
      <c r="J2814" s="266"/>
      <c r="K2814" s="266"/>
      <c r="L2814" s="266"/>
    </row>
    <row r="2815" spans="1:12" s="82" customFormat="1" ht="12.75" customHeight="1">
      <c r="A2815" s="407"/>
      <c r="C2815" s="154"/>
      <c r="D2815" s="447" t="s">
        <v>37</v>
      </c>
      <c r="E2815" s="447"/>
      <c r="F2815" s="447"/>
      <c r="G2815" s="447"/>
      <c r="H2815" s="447"/>
      <c r="I2815" s="77">
        <f>SUM(I2816:I2818)</f>
        <v>120700</v>
      </c>
      <c r="J2815" s="77">
        <f>SUM(J2816:J2818)</f>
        <v>-40431</v>
      </c>
      <c r="K2815" s="77">
        <f>SUM(K2816:K2818)</f>
        <v>80269</v>
      </c>
      <c r="L2815" s="80"/>
    </row>
    <row r="2816" spans="1:12" s="82" customFormat="1" ht="13.5" customHeight="1" hidden="1">
      <c r="A2816" s="407"/>
      <c r="C2816" s="154"/>
      <c r="D2816" s="446" t="s">
        <v>5</v>
      </c>
      <c r="E2816" s="446"/>
      <c r="F2816" s="446"/>
      <c r="G2816" s="446"/>
      <c r="H2816" s="446"/>
      <c r="I2816" s="100"/>
      <c r="J2816" s="80"/>
      <c r="K2816" s="80">
        <f>SUM(I2816:J2816)</f>
        <v>0</v>
      </c>
      <c r="L2816" s="80"/>
    </row>
    <row r="2817" spans="1:12" s="82" customFormat="1" ht="13.5" customHeight="1" hidden="1">
      <c r="A2817" s="407"/>
      <c r="C2817" s="154"/>
      <c r="D2817" s="446" t="s">
        <v>6</v>
      </c>
      <c r="E2817" s="446"/>
      <c r="F2817" s="446"/>
      <c r="G2817" s="446"/>
      <c r="H2817" s="446"/>
      <c r="I2817" s="100"/>
      <c r="J2817" s="80"/>
      <c r="K2817" s="80">
        <f>SUM(I2817:J2817)</f>
        <v>0</v>
      </c>
      <c r="L2817" s="80"/>
    </row>
    <row r="2818" spans="1:12" s="82" customFormat="1" ht="13.5" customHeight="1">
      <c r="A2818" s="407"/>
      <c r="C2818" s="154"/>
      <c r="D2818" s="446" t="s">
        <v>7</v>
      </c>
      <c r="E2818" s="446"/>
      <c r="F2818" s="446"/>
      <c r="G2818" s="446"/>
      <c r="H2818" s="446"/>
      <c r="I2818" s="100">
        <v>120700</v>
      </c>
      <c r="J2818" s="80">
        <f>-40431</f>
        <v>-40431</v>
      </c>
      <c r="K2818" s="80">
        <f>SUM(I2818:J2818)</f>
        <v>80269</v>
      </c>
      <c r="L2818" s="80"/>
    </row>
    <row r="2819" spans="1:12" s="82" customFormat="1" ht="13.5" customHeight="1">
      <c r="A2819" s="407"/>
      <c r="C2819" s="154"/>
      <c r="D2819" s="447" t="s">
        <v>38</v>
      </c>
      <c r="E2819" s="447"/>
      <c r="F2819" s="447"/>
      <c r="G2819" s="447"/>
      <c r="H2819" s="447"/>
      <c r="I2819" s="253">
        <f>SUM(I2820:I2825)</f>
        <v>152877</v>
      </c>
      <c r="J2819" s="253">
        <f>SUM(J2820:J2825)</f>
        <v>-40431</v>
      </c>
      <c r="K2819" s="253">
        <f>SUM(K2820:K2825)</f>
        <v>112446</v>
      </c>
      <c r="L2819" s="80"/>
    </row>
    <row r="2820" spans="1:12" s="82" customFormat="1" ht="13.5" customHeight="1" hidden="1">
      <c r="A2820" s="407"/>
      <c r="C2820" s="154"/>
      <c r="D2820" s="446" t="s">
        <v>289</v>
      </c>
      <c r="E2820" s="446"/>
      <c r="F2820" s="446"/>
      <c r="G2820" s="446"/>
      <c r="H2820" s="446"/>
      <c r="I2820" s="29"/>
      <c r="J2820" s="80"/>
      <c r="K2820" s="80">
        <f aca="true" t="shared" si="193" ref="K2820:K2825">SUM(I2820:J2820)</f>
        <v>0</v>
      </c>
      <c r="L2820" s="80"/>
    </row>
    <row r="2821" spans="1:12" s="82" customFormat="1" ht="13.5" customHeight="1">
      <c r="A2821" s="407"/>
      <c r="C2821" s="154"/>
      <c r="D2821" s="444" t="s">
        <v>8</v>
      </c>
      <c r="E2821" s="448"/>
      <c r="F2821" s="448"/>
      <c r="G2821" s="448"/>
      <c r="H2821" s="448"/>
      <c r="I2821" s="29">
        <v>152877</v>
      </c>
      <c r="J2821" s="80">
        <f>-40431</f>
        <v>-40431</v>
      </c>
      <c r="K2821" s="80">
        <f t="shared" si="193"/>
        <v>112446</v>
      </c>
      <c r="L2821" s="80"/>
    </row>
    <row r="2822" spans="1:12" s="82" customFormat="1" ht="13.5" customHeight="1" hidden="1">
      <c r="A2822" s="407"/>
      <c r="C2822" s="154"/>
      <c r="D2822" s="444" t="s">
        <v>10</v>
      </c>
      <c r="E2822" s="444"/>
      <c r="F2822" s="444"/>
      <c r="G2822" s="444"/>
      <c r="H2822" s="444"/>
      <c r="I2822" s="29"/>
      <c r="J2822" s="80"/>
      <c r="K2822" s="80">
        <f t="shared" si="193"/>
        <v>0</v>
      </c>
      <c r="L2822" s="80"/>
    </row>
    <row r="2823" spans="1:12" s="82" customFormat="1" ht="13.5" customHeight="1" hidden="1">
      <c r="A2823" s="407"/>
      <c r="C2823" s="154"/>
      <c r="D2823" s="444" t="s">
        <v>9</v>
      </c>
      <c r="E2823" s="444"/>
      <c r="F2823" s="444"/>
      <c r="G2823" s="444"/>
      <c r="H2823" s="444"/>
      <c r="I2823" s="29"/>
      <c r="J2823" s="80"/>
      <c r="K2823" s="80">
        <f t="shared" si="193"/>
        <v>0</v>
      </c>
      <c r="L2823" s="80"/>
    </row>
    <row r="2824" spans="1:12" s="82" customFormat="1" ht="13.5" customHeight="1" hidden="1">
      <c r="A2824" s="407"/>
      <c r="C2824" s="154"/>
      <c r="D2824" s="444" t="s">
        <v>11</v>
      </c>
      <c r="E2824" s="444"/>
      <c r="F2824" s="444"/>
      <c r="G2824" s="444"/>
      <c r="H2824" s="444"/>
      <c r="I2824" s="29"/>
      <c r="J2824" s="80"/>
      <c r="K2824" s="80">
        <f t="shared" si="193"/>
        <v>0</v>
      </c>
      <c r="L2824" s="80"/>
    </row>
    <row r="2825" spans="1:12" s="82" customFormat="1" ht="13.5" customHeight="1" hidden="1">
      <c r="A2825" s="407"/>
      <c r="C2825" s="149"/>
      <c r="D2825" s="444" t="s">
        <v>12</v>
      </c>
      <c r="E2825" s="444"/>
      <c r="F2825" s="444"/>
      <c r="G2825" s="444"/>
      <c r="H2825" s="444"/>
      <c r="I2825" s="29"/>
      <c r="J2825" s="77"/>
      <c r="K2825" s="80">
        <f t="shared" si="193"/>
        <v>0</v>
      </c>
      <c r="L2825" s="80"/>
    </row>
    <row r="2826" spans="1:12" s="82" customFormat="1" ht="13.5" customHeight="1">
      <c r="A2826" s="407"/>
      <c r="C2826" s="149"/>
      <c r="D2826" s="445" t="s">
        <v>277</v>
      </c>
      <c r="E2826" s="445"/>
      <c r="F2826" s="445"/>
      <c r="G2826" s="445"/>
      <c r="H2826" s="445"/>
      <c r="I2826" s="77">
        <f>I2815-I2819</f>
        <v>-32177</v>
      </c>
      <c r="J2826" s="77">
        <f>J2815-J2819</f>
        <v>0</v>
      </c>
      <c r="K2826" s="77">
        <f>K2815-K2819</f>
        <v>-32177</v>
      </c>
      <c r="L2826" s="80"/>
    </row>
    <row r="2827" spans="1:12" s="82" customFormat="1" ht="13.5" customHeight="1">
      <c r="A2827" s="407"/>
      <c r="C2827" s="149"/>
      <c r="D2827" s="444" t="s">
        <v>279</v>
      </c>
      <c r="E2827" s="444"/>
      <c r="F2827" s="444"/>
      <c r="G2827" s="444"/>
      <c r="H2827" s="444"/>
      <c r="I2827" s="29">
        <f>I2828+I2829+I2830</f>
        <v>32177</v>
      </c>
      <c r="J2827" s="29">
        <f>J2828+J2829+J2830</f>
        <v>0</v>
      </c>
      <c r="K2827" s="29">
        <f>K2828+K2829+K2830</f>
        <v>32177</v>
      </c>
      <c r="L2827" s="80"/>
    </row>
    <row r="2828" spans="1:12" s="82" customFormat="1" ht="13.5" customHeight="1">
      <c r="A2828" s="407"/>
      <c r="C2828" s="149"/>
      <c r="D2828" s="444" t="s">
        <v>278</v>
      </c>
      <c r="E2828" s="444"/>
      <c r="F2828" s="444"/>
      <c r="G2828" s="444"/>
      <c r="H2828" s="444"/>
      <c r="I2828" s="29">
        <v>32177</v>
      </c>
      <c r="J2828" s="77"/>
      <c r="K2828" s="80">
        <f>SUM(I2828:J2828)</f>
        <v>32177</v>
      </c>
      <c r="L2828" s="80"/>
    </row>
    <row r="2829" spans="1:12" s="82" customFormat="1" ht="13.5" customHeight="1" hidden="1">
      <c r="A2829" s="407"/>
      <c r="C2829" s="149"/>
      <c r="D2829" s="444" t="s">
        <v>280</v>
      </c>
      <c r="E2829" s="444"/>
      <c r="F2829" s="444"/>
      <c r="G2829" s="444"/>
      <c r="H2829" s="444"/>
      <c r="I2829" s="29"/>
      <c r="J2829" s="77"/>
      <c r="K2829" s="80">
        <f>SUM(I2829:J2829)</f>
        <v>0</v>
      </c>
      <c r="L2829" s="80"/>
    </row>
    <row r="2830" spans="1:12" s="82" customFormat="1" ht="13.5" customHeight="1" hidden="1">
      <c r="A2830" s="407"/>
      <c r="C2830" s="149"/>
      <c r="D2830" s="444" t="s">
        <v>281</v>
      </c>
      <c r="E2830" s="444"/>
      <c r="F2830" s="444"/>
      <c r="G2830" s="444"/>
      <c r="H2830" s="444"/>
      <c r="I2830" s="29"/>
      <c r="J2830" s="77"/>
      <c r="K2830" s="80">
        <f>SUM(I2830:J2830)</f>
        <v>0</v>
      </c>
      <c r="L2830" s="80"/>
    </row>
    <row r="2831" spans="1:12" s="82" customFormat="1" ht="22.5" customHeight="1">
      <c r="A2831" s="407"/>
      <c r="C2831" s="149"/>
      <c r="D2831" s="85"/>
      <c r="E2831" s="85"/>
      <c r="F2831" s="85"/>
      <c r="G2831" s="85"/>
      <c r="H2831" s="85"/>
      <c r="I2831" s="29"/>
      <c r="J2831" s="77"/>
      <c r="K2831" s="80"/>
      <c r="L2831" s="80"/>
    </row>
    <row r="2832" spans="1:12" s="82" customFormat="1" ht="1.5" customHeight="1">
      <c r="A2832" s="407"/>
      <c r="C2832" s="149"/>
      <c r="D2832" s="81"/>
      <c r="E2832" s="81"/>
      <c r="F2832" s="81"/>
      <c r="G2832" s="81"/>
      <c r="H2832" s="81"/>
      <c r="I2832" s="29"/>
      <c r="J2832" s="80"/>
      <c r="K2832" s="80"/>
      <c r="L2832" s="80"/>
    </row>
    <row r="2833" spans="1:12" s="95" customFormat="1" ht="13.5" customHeight="1">
      <c r="A2833" s="407"/>
      <c r="C2833" s="148" t="s">
        <v>99</v>
      </c>
      <c r="D2833" s="435" t="s">
        <v>263</v>
      </c>
      <c r="E2833" s="436"/>
      <c r="F2833" s="436"/>
      <c r="G2833" s="436"/>
      <c r="H2833" s="436"/>
      <c r="I2833" s="129"/>
      <c r="J2833" s="127"/>
      <c r="K2833" s="127"/>
      <c r="L2833" s="127"/>
    </row>
    <row r="2834" spans="1:12" s="82" customFormat="1" ht="13.5" customHeight="1">
      <c r="A2834" s="407"/>
      <c r="C2834" s="161"/>
      <c r="D2834" s="447" t="s">
        <v>37</v>
      </c>
      <c r="E2834" s="447"/>
      <c r="F2834" s="447"/>
      <c r="G2834" s="447"/>
      <c r="H2834" s="447"/>
      <c r="I2834" s="77">
        <f>SUM(I2835:I2837)</f>
        <v>235623</v>
      </c>
      <c r="J2834" s="77">
        <f>SUM(J2835:J2837)</f>
        <v>0</v>
      </c>
      <c r="K2834" s="77">
        <f>SUM(K2835:K2837)</f>
        <v>235623</v>
      </c>
      <c r="L2834" s="80"/>
    </row>
    <row r="2835" spans="1:12" s="82" customFormat="1" ht="12" customHeight="1">
      <c r="A2835" s="407"/>
      <c r="C2835" s="161"/>
      <c r="D2835" s="446" t="s">
        <v>5</v>
      </c>
      <c r="E2835" s="446"/>
      <c r="F2835" s="446"/>
      <c r="G2835" s="446"/>
      <c r="H2835" s="446"/>
      <c r="I2835" s="29">
        <v>235623</v>
      </c>
      <c r="J2835" s="80"/>
      <c r="K2835" s="80">
        <f>SUM(I2835:J2835)</f>
        <v>235623</v>
      </c>
      <c r="L2835" s="80"/>
    </row>
    <row r="2836" spans="1:12" s="82" customFormat="1" ht="13.5" customHeight="1" hidden="1">
      <c r="A2836" s="407"/>
      <c r="C2836" s="161"/>
      <c r="D2836" s="446" t="s">
        <v>6</v>
      </c>
      <c r="E2836" s="446"/>
      <c r="F2836" s="446"/>
      <c r="G2836" s="446"/>
      <c r="H2836" s="446"/>
      <c r="I2836" s="29"/>
      <c r="J2836" s="80"/>
      <c r="K2836" s="80">
        <f>SUM(I2836:J2836)</f>
        <v>0</v>
      </c>
      <c r="L2836" s="80"/>
    </row>
    <row r="2837" spans="1:12" s="82" customFormat="1" ht="13.5" customHeight="1" hidden="1">
      <c r="A2837" s="407"/>
      <c r="C2837" s="161"/>
      <c r="D2837" s="446" t="s">
        <v>7</v>
      </c>
      <c r="E2837" s="446"/>
      <c r="F2837" s="446"/>
      <c r="G2837" s="446"/>
      <c r="H2837" s="446"/>
      <c r="I2837" s="29"/>
      <c r="J2837" s="80"/>
      <c r="K2837" s="80">
        <f>SUM(I2837:J2837)</f>
        <v>0</v>
      </c>
      <c r="L2837" s="80"/>
    </row>
    <row r="2838" spans="1:12" s="82" customFormat="1" ht="12.75" customHeight="1">
      <c r="A2838" s="407"/>
      <c r="C2838" s="161"/>
      <c r="D2838" s="447" t="s">
        <v>38</v>
      </c>
      <c r="E2838" s="447"/>
      <c r="F2838" s="447"/>
      <c r="G2838" s="447"/>
      <c r="H2838" s="447"/>
      <c r="I2838" s="253">
        <f>SUM(I2839:I2844)</f>
        <v>235623</v>
      </c>
      <c r="J2838" s="253">
        <f>SUM(J2839:J2844)</f>
        <v>0</v>
      </c>
      <c r="K2838" s="253">
        <f>SUM(K2839:K2844)</f>
        <v>235623</v>
      </c>
      <c r="L2838" s="80"/>
    </row>
    <row r="2839" spans="1:12" s="82" customFormat="1" ht="13.5" customHeight="1" hidden="1">
      <c r="A2839" s="407"/>
      <c r="C2839" s="161"/>
      <c r="D2839" s="446" t="s">
        <v>289</v>
      </c>
      <c r="E2839" s="446"/>
      <c r="F2839" s="446"/>
      <c r="G2839" s="446"/>
      <c r="H2839" s="446"/>
      <c r="I2839" s="29"/>
      <c r="J2839" s="80"/>
      <c r="K2839" s="80">
        <f aca="true" t="shared" si="194" ref="K2839:K2844">SUM(I2839:J2839)</f>
        <v>0</v>
      </c>
      <c r="L2839" s="80"/>
    </row>
    <row r="2840" spans="1:12" s="82" customFormat="1" ht="13.5" customHeight="1" hidden="1">
      <c r="A2840" s="407"/>
      <c r="C2840" s="161"/>
      <c r="D2840" s="444" t="s">
        <v>8</v>
      </c>
      <c r="E2840" s="448"/>
      <c r="F2840" s="448"/>
      <c r="G2840" s="448"/>
      <c r="H2840" s="448"/>
      <c r="I2840" s="29"/>
      <c r="J2840" s="80"/>
      <c r="K2840" s="80">
        <f t="shared" si="194"/>
        <v>0</v>
      </c>
      <c r="L2840" s="80"/>
    </row>
    <row r="2841" spans="1:12" s="82" customFormat="1" ht="13.5" customHeight="1" hidden="1">
      <c r="A2841" s="407"/>
      <c r="C2841" s="161"/>
      <c r="D2841" s="444" t="s">
        <v>10</v>
      </c>
      <c r="E2841" s="444"/>
      <c r="F2841" s="444"/>
      <c r="G2841" s="444"/>
      <c r="H2841" s="444"/>
      <c r="I2841" s="29"/>
      <c r="J2841" s="80"/>
      <c r="K2841" s="80">
        <f t="shared" si="194"/>
        <v>0</v>
      </c>
      <c r="L2841" s="80"/>
    </row>
    <row r="2842" spans="1:12" s="82" customFormat="1" ht="13.5" customHeight="1" hidden="1">
      <c r="A2842" s="407"/>
      <c r="C2842" s="161"/>
      <c r="D2842" s="444" t="s">
        <v>9</v>
      </c>
      <c r="E2842" s="444"/>
      <c r="F2842" s="444"/>
      <c r="G2842" s="444"/>
      <c r="H2842" s="444"/>
      <c r="I2842" s="29"/>
      <c r="J2842" s="80"/>
      <c r="K2842" s="80">
        <f t="shared" si="194"/>
        <v>0</v>
      </c>
      <c r="L2842" s="80"/>
    </row>
    <row r="2843" spans="1:12" s="82" customFormat="1" ht="13.5" customHeight="1" hidden="1">
      <c r="A2843" s="407"/>
      <c r="C2843" s="161"/>
      <c r="D2843" s="444" t="s">
        <v>11</v>
      </c>
      <c r="E2843" s="444"/>
      <c r="F2843" s="444"/>
      <c r="G2843" s="444"/>
      <c r="H2843" s="444"/>
      <c r="I2843" s="29"/>
      <c r="J2843" s="80"/>
      <c r="K2843" s="80">
        <f t="shared" si="194"/>
        <v>0</v>
      </c>
      <c r="L2843" s="80"/>
    </row>
    <row r="2844" spans="1:12" s="82" customFormat="1" ht="13.5" customHeight="1">
      <c r="A2844" s="407"/>
      <c r="C2844" s="161"/>
      <c r="D2844" s="444" t="s">
        <v>12</v>
      </c>
      <c r="E2844" s="444"/>
      <c r="F2844" s="444"/>
      <c r="G2844" s="444"/>
      <c r="H2844" s="444"/>
      <c r="I2844" s="29">
        <v>235623</v>
      </c>
      <c r="J2844" s="80"/>
      <c r="K2844" s="80">
        <f t="shared" si="194"/>
        <v>235623</v>
      </c>
      <c r="L2844" s="80"/>
    </row>
    <row r="2845" spans="1:12" s="82" customFormat="1" ht="13.5" customHeight="1">
      <c r="A2845" s="407"/>
      <c r="C2845" s="161"/>
      <c r="D2845" s="445" t="s">
        <v>277</v>
      </c>
      <c r="E2845" s="445"/>
      <c r="F2845" s="445"/>
      <c r="G2845" s="445"/>
      <c r="H2845" s="445"/>
      <c r="I2845" s="77">
        <f>I2834-I2838</f>
        <v>0</v>
      </c>
      <c r="J2845" s="77">
        <f>J2834-J2838</f>
        <v>0</v>
      </c>
      <c r="K2845" s="77">
        <f>K2834-K2838</f>
        <v>0</v>
      </c>
      <c r="L2845" s="80"/>
    </row>
    <row r="2846" spans="1:12" s="82" customFormat="1" ht="13.5" customHeight="1">
      <c r="A2846" s="407"/>
      <c r="C2846" s="161"/>
      <c r="D2846" s="444" t="s">
        <v>279</v>
      </c>
      <c r="E2846" s="444"/>
      <c r="F2846" s="444"/>
      <c r="G2846" s="444"/>
      <c r="H2846" s="444"/>
      <c r="I2846" s="29">
        <f>I2847+I2848+I2849</f>
        <v>0</v>
      </c>
      <c r="J2846" s="29">
        <f>J2847+J2848+J2849</f>
        <v>0</v>
      </c>
      <c r="K2846" s="29">
        <f>K2847+K2848+K2849</f>
        <v>0</v>
      </c>
      <c r="L2846" s="80"/>
    </row>
    <row r="2847" spans="1:12" s="82" customFormat="1" ht="13.5" customHeight="1" hidden="1">
      <c r="A2847" s="407"/>
      <c r="C2847" s="161"/>
      <c r="D2847" s="444" t="s">
        <v>278</v>
      </c>
      <c r="E2847" s="444"/>
      <c r="F2847" s="444"/>
      <c r="G2847" s="444"/>
      <c r="H2847" s="444"/>
      <c r="I2847" s="29"/>
      <c r="J2847" s="77"/>
      <c r="K2847" s="80">
        <f>SUM(I2847:J2847)</f>
        <v>0</v>
      </c>
      <c r="L2847" s="80"/>
    </row>
    <row r="2848" spans="1:12" s="82" customFormat="1" ht="13.5" customHeight="1" hidden="1">
      <c r="A2848" s="407"/>
      <c r="C2848" s="161"/>
      <c r="D2848" s="444" t="s">
        <v>280</v>
      </c>
      <c r="E2848" s="444"/>
      <c r="F2848" s="444"/>
      <c r="G2848" s="444"/>
      <c r="H2848" s="444"/>
      <c r="I2848" s="29"/>
      <c r="J2848" s="77"/>
      <c r="K2848" s="80">
        <f>SUM(I2848:J2848)</f>
        <v>0</v>
      </c>
      <c r="L2848" s="80"/>
    </row>
    <row r="2849" spans="1:12" s="82" customFormat="1" ht="13.5" customHeight="1" hidden="1">
      <c r="A2849" s="407"/>
      <c r="C2849" s="161"/>
      <c r="D2849" s="444" t="s">
        <v>281</v>
      </c>
      <c r="E2849" s="444"/>
      <c r="F2849" s="444"/>
      <c r="G2849" s="444"/>
      <c r="H2849" s="444"/>
      <c r="I2849" s="29"/>
      <c r="J2849" s="77"/>
      <c r="K2849" s="80">
        <f>SUM(I2849:J2849)</f>
        <v>0</v>
      </c>
      <c r="L2849" s="80"/>
    </row>
    <row r="2850" spans="1:12" s="82" customFormat="1" ht="25.5" customHeight="1">
      <c r="A2850" s="407"/>
      <c r="C2850" s="161"/>
      <c r="D2850" s="85"/>
      <c r="E2850" s="85"/>
      <c r="F2850" s="85"/>
      <c r="G2850" s="85"/>
      <c r="H2850" s="85"/>
      <c r="I2850" s="29"/>
      <c r="J2850" s="80"/>
      <c r="K2850" s="80"/>
      <c r="L2850" s="80"/>
    </row>
    <row r="2851" spans="1:13" s="15" customFormat="1" ht="13.5" customHeight="1">
      <c r="A2851" s="409">
        <f>'2.pielikums'!J53-'3.pielik.'!K2851</f>
        <v>0</v>
      </c>
      <c r="C2851" s="150" t="s">
        <v>302</v>
      </c>
      <c r="D2851" s="437" t="s">
        <v>52</v>
      </c>
      <c r="E2851" s="437"/>
      <c r="F2851" s="437"/>
      <c r="G2851" s="437"/>
      <c r="H2851" s="437"/>
      <c r="I2851" s="134">
        <f>I2858+I3003+I3041+I3060+I3080+I3022</f>
        <v>6297178</v>
      </c>
      <c r="J2851" s="134">
        <f>J2858+J3003+J3041+J3060+J3080+J3022</f>
        <v>378220</v>
      </c>
      <c r="K2851" s="134">
        <f>K2858+K3003+K3041+K3060+K3080+K3022</f>
        <v>6675398</v>
      </c>
      <c r="L2851" s="127"/>
      <c r="M2851" s="95"/>
    </row>
    <row r="2852" spans="1:13" s="15" customFormat="1" ht="1.5" customHeight="1">
      <c r="A2852" s="407"/>
      <c r="C2852" s="165"/>
      <c r="D2852" s="7"/>
      <c r="E2852" s="7"/>
      <c r="F2852" s="7"/>
      <c r="G2852" s="7"/>
      <c r="H2852" s="7"/>
      <c r="I2852" s="180"/>
      <c r="J2852" s="180"/>
      <c r="K2852" s="180"/>
      <c r="L2852" s="127"/>
      <c r="M2852" s="95"/>
    </row>
    <row r="2853" spans="1:13" s="15" customFormat="1" ht="13.5" customHeight="1">
      <c r="A2853" s="407"/>
      <c r="C2853" s="148" t="s">
        <v>106</v>
      </c>
      <c r="D2853" s="450" t="s">
        <v>53</v>
      </c>
      <c r="E2853" s="450"/>
      <c r="F2853" s="450"/>
      <c r="G2853" s="450"/>
      <c r="H2853" s="450"/>
      <c r="I2853" s="17"/>
      <c r="J2853" s="126"/>
      <c r="K2853" s="126"/>
      <c r="L2853" s="127"/>
      <c r="M2853" s="95"/>
    </row>
    <row r="2854" spans="1:13" s="15" customFormat="1" ht="12" customHeight="1">
      <c r="A2854" s="407"/>
      <c r="C2854" s="161"/>
      <c r="D2854" s="447" t="s">
        <v>37</v>
      </c>
      <c r="E2854" s="447"/>
      <c r="F2854" s="447"/>
      <c r="G2854" s="447"/>
      <c r="H2854" s="447"/>
      <c r="I2854" s="77">
        <f>SUM(I2855:I2857)</f>
        <v>3879972</v>
      </c>
      <c r="J2854" s="77">
        <f>SUM(J2855:J2857)</f>
        <v>112767</v>
      </c>
      <c r="K2854" s="77">
        <f>SUM(K2855:K2857)</f>
        <v>3992739</v>
      </c>
      <c r="L2854" s="127"/>
      <c r="M2854" s="95"/>
    </row>
    <row r="2855" spans="1:13" s="15" customFormat="1" ht="12" customHeight="1">
      <c r="A2855" s="407"/>
      <c r="C2855" s="161"/>
      <c r="D2855" s="446" t="s">
        <v>5</v>
      </c>
      <c r="E2855" s="446"/>
      <c r="F2855" s="446"/>
      <c r="G2855" s="446"/>
      <c r="H2855" s="446"/>
      <c r="I2855" s="29">
        <f aca="true" t="shared" si="195" ref="I2855:K2857">I2873+I2891+I2909+I2945+I2963+I2981+I2927</f>
        <v>3408425</v>
      </c>
      <c r="J2855" s="29">
        <f t="shared" si="195"/>
        <v>112767</v>
      </c>
      <c r="K2855" s="29">
        <f t="shared" si="195"/>
        <v>3521192</v>
      </c>
      <c r="L2855" s="127"/>
      <c r="M2855" s="95"/>
    </row>
    <row r="2856" spans="1:13" s="15" customFormat="1" ht="12" customHeight="1">
      <c r="A2856" s="407"/>
      <c r="C2856" s="161"/>
      <c r="D2856" s="446" t="s">
        <v>6</v>
      </c>
      <c r="E2856" s="446"/>
      <c r="F2856" s="446"/>
      <c r="G2856" s="446"/>
      <c r="H2856" s="446"/>
      <c r="I2856" s="29">
        <f t="shared" si="195"/>
        <v>51187</v>
      </c>
      <c r="J2856" s="29">
        <f t="shared" si="195"/>
        <v>0</v>
      </c>
      <c r="K2856" s="29">
        <f t="shared" si="195"/>
        <v>51187</v>
      </c>
      <c r="L2856" s="127"/>
      <c r="M2856" s="95"/>
    </row>
    <row r="2857" spans="1:13" s="15" customFormat="1" ht="12" customHeight="1">
      <c r="A2857" s="407"/>
      <c r="C2857" s="161"/>
      <c r="D2857" s="446" t="s">
        <v>7</v>
      </c>
      <c r="E2857" s="446"/>
      <c r="F2857" s="446"/>
      <c r="G2857" s="446"/>
      <c r="H2857" s="446"/>
      <c r="I2857" s="29">
        <f t="shared" si="195"/>
        <v>420360</v>
      </c>
      <c r="J2857" s="29">
        <f t="shared" si="195"/>
        <v>0</v>
      </c>
      <c r="K2857" s="29">
        <f t="shared" si="195"/>
        <v>420360</v>
      </c>
      <c r="L2857" s="127"/>
      <c r="M2857" s="95"/>
    </row>
    <row r="2858" spans="1:13" s="15" customFormat="1" ht="12" customHeight="1">
      <c r="A2858" s="407"/>
      <c r="C2858" s="161"/>
      <c r="D2858" s="447" t="s">
        <v>38</v>
      </c>
      <c r="E2858" s="447"/>
      <c r="F2858" s="447"/>
      <c r="G2858" s="447"/>
      <c r="H2858" s="447"/>
      <c r="I2858" s="253">
        <f>SUM(I2859:I2864)</f>
        <v>3911360</v>
      </c>
      <c r="J2858" s="253">
        <f>SUM(J2859:J2864)</f>
        <v>112767</v>
      </c>
      <c r="K2858" s="253">
        <f>SUM(K2859:K2864)</f>
        <v>4024127</v>
      </c>
      <c r="L2858" s="127"/>
      <c r="M2858" s="95"/>
    </row>
    <row r="2859" spans="1:13" s="15" customFormat="1" ht="13.5" customHeight="1">
      <c r="A2859" s="407"/>
      <c r="C2859" s="161"/>
      <c r="D2859" s="446" t="s">
        <v>289</v>
      </c>
      <c r="E2859" s="446"/>
      <c r="F2859" s="446"/>
      <c r="G2859" s="446"/>
      <c r="H2859" s="446"/>
      <c r="I2859" s="29">
        <f>I2877+I2895+I2913+I2949+I2967+I2985+I2931</f>
        <v>858036</v>
      </c>
      <c r="J2859" s="29">
        <f>J2877+J2895+J2913+J2949+J2967+J2985+J2931</f>
        <v>85578</v>
      </c>
      <c r="K2859" s="29">
        <f>K2877+K2895+K2913+K2949+K2967+K2985+K2931</f>
        <v>943614</v>
      </c>
      <c r="L2859" s="127"/>
      <c r="M2859" s="95"/>
    </row>
    <row r="2860" spans="1:13" s="79" customFormat="1" ht="11.25" customHeight="1">
      <c r="A2860" s="407"/>
      <c r="C2860" s="151"/>
      <c r="D2860" s="444" t="s">
        <v>8</v>
      </c>
      <c r="E2860" s="448"/>
      <c r="F2860" s="448"/>
      <c r="G2860" s="448"/>
      <c r="H2860" s="448"/>
      <c r="I2860" s="29">
        <f>I2878+I2896+I2914+I2950+I2968+I2986+I2932</f>
        <v>521039</v>
      </c>
      <c r="J2860" s="29">
        <f aca="true" t="shared" si="196" ref="J2860:K2863">J2878+J2896+J2914+J2950+J2968+J2986</f>
        <v>19869</v>
      </c>
      <c r="K2860" s="29">
        <f t="shared" si="196"/>
        <v>540908</v>
      </c>
      <c r="L2860" s="80"/>
      <c r="M2860" s="82"/>
    </row>
    <row r="2861" spans="1:13" s="79" customFormat="1" ht="13.5" customHeight="1" hidden="1">
      <c r="A2861" s="407"/>
      <c r="C2861" s="151"/>
      <c r="D2861" s="444" t="s">
        <v>10</v>
      </c>
      <c r="E2861" s="444"/>
      <c r="F2861" s="444"/>
      <c r="G2861" s="444"/>
      <c r="H2861" s="444"/>
      <c r="I2861" s="29">
        <f>I2879+I2897+I2915+I2951+I2969+I2987+I2933</f>
        <v>0</v>
      </c>
      <c r="J2861" s="29">
        <f t="shared" si="196"/>
        <v>0</v>
      </c>
      <c r="K2861" s="29">
        <f t="shared" si="196"/>
        <v>0</v>
      </c>
      <c r="L2861" s="80"/>
      <c r="M2861" s="82"/>
    </row>
    <row r="2862" spans="1:13" s="79" customFormat="1" ht="12.75" customHeight="1">
      <c r="A2862" s="407"/>
      <c r="C2862" s="151"/>
      <c r="D2862" s="444" t="s">
        <v>9</v>
      </c>
      <c r="E2862" s="444"/>
      <c r="F2862" s="444"/>
      <c r="G2862" s="444"/>
      <c r="H2862" s="444"/>
      <c r="I2862" s="29">
        <f>I2880+I2898+I2916+I2952+I2970+I2988+I2934</f>
        <v>607</v>
      </c>
      <c r="J2862" s="29">
        <f t="shared" si="196"/>
        <v>0</v>
      </c>
      <c r="K2862" s="29">
        <f t="shared" si="196"/>
        <v>607</v>
      </c>
      <c r="L2862" s="80"/>
      <c r="M2862" s="82"/>
    </row>
    <row r="2863" spans="1:12" s="82" customFormat="1" ht="11.25" customHeight="1">
      <c r="A2863" s="407"/>
      <c r="C2863" s="149"/>
      <c r="D2863" s="444" t="s">
        <v>11</v>
      </c>
      <c r="E2863" s="444"/>
      <c r="F2863" s="444"/>
      <c r="G2863" s="444"/>
      <c r="H2863" s="444"/>
      <c r="I2863" s="29">
        <f>I2881+I2899+I2917+I2953+I2971+I2989+I2935</f>
        <v>23005</v>
      </c>
      <c r="J2863" s="29">
        <f t="shared" si="196"/>
        <v>7320</v>
      </c>
      <c r="K2863" s="29">
        <f t="shared" si="196"/>
        <v>30325</v>
      </c>
      <c r="L2863" s="80"/>
    </row>
    <row r="2864" spans="1:12" s="82" customFormat="1" ht="12" customHeight="1">
      <c r="A2864" s="407"/>
      <c r="C2864" s="149"/>
      <c r="D2864" s="444" t="s">
        <v>12</v>
      </c>
      <c r="E2864" s="444"/>
      <c r="F2864" s="444"/>
      <c r="G2864" s="444"/>
      <c r="H2864" s="444"/>
      <c r="I2864" s="29">
        <f>I2882+I2900+I2918+I2954+I2972+I2990+I2936</f>
        <v>2508673</v>
      </c>
      <c r="J2864" s="29">
        <f>J2882+J2900+J2918+J2954+J2972+J2990+J2936</f>
        <v>0</v>
      </c>
      <c r="K2864" s="29">
        <f>K2882+K2900+K2918+K2954+K2972+K2990+K2936</f>
        <v>2508673</v>
      </c>
      <c r="L2864" s="80"/>
    </row>
    <row r="2865" spans="1:12" s="82" customFormat="1" ht="11.25" customHeight="1">
      <c r="A2865" s="407"/>
      <c r="C2865" s="149"/>
      <c r="D2865" s="445" t="s">
        <v>277</v>
      </c>
      <c r="E2865" s="445"/>
      <c r="F2865" s="445"/>
      <c r="G2865" s="445"/>
      <c r="H2865" s="445"/>
      <c r="I2865" s="77">
        <f>I2854-I2858</f>
        <v>-31388</v>
      </c>
      <c r="J2865" s="77">
        <f>J2854-J2858</f>
        <v>0</v>
      </c>
      <c r="K2865" s="77">
        <f>K2854-K2858</f>
        <v>-31388</v>
      </c>
      <c r="L2865" s="80"/>
    </row>
    <row r="2866" spans="1:12" s="82" customFormat="1" ht="12" customHeight="1">
      <c r="A2866" s="407"/>
      <c r="C2866" s="149"/>
      <c r="D2866" s="444" t="s">
        <v>279</v>
      </c>
      <c r="E2866" s="444"/>
      <c r="F2866" s="444"/>
      <c r="G2866" s="444"/>
      <c r="H2866" s="444"/>
      <c r="I2866" s="29">
        <f>I2867+I2868+I2869</f>
        <v>31388</v>
      </c>
      <c r="J2866" s="29">
        <f>J2867+J2868+J2869</f>
        <v>0</v>
      </c>
      <c r="K2866" s="29">
        <f>K2867+K2868+K2869</f>
        <v>31388</v>
      </c>
      <c r="L2866" s="80"/>
    </row>
    <row r="2867" spans="1:12" s="82" customFormat="1" ht="12.75" customHeight="1">
      <c r="A2867" s="407"/>
      <c r="C2867" s="149"/>
      <c r="D2867" s="444" t="s">
        <v>278</v>
      </c>
      <c r="E2867" s="444"/>
      <c r="F2867" s="444"/>
      <c r="G2867" s="444"/>
      <c r="H2867" s="444"/>
      <c r="I2867" s="29">
        <f aca="true" t="shared" si="197" ref="I2867:K2869">I2885+I2903+I2921+I2957+I2975+I2993</f>
        <v>37833</v>
      </c>
      <c r="J2867" s="29">
        <f t="shared" si="197"/>
        <v>0</v>
      </c>
      <c r="K2867" s="29">
        <f t="shared" si="197"/>
        <v>37833</v>
      </c>
      <c r="L2867" s="80"/>
    </row>
    <row r="2868" spans="1:12" s="82" customFormat="1" ht="13.5" customHeight="1" hidden="1">
      <c r="A2868" s="407"/>
      <c r="C2868" s="149"/>
      <c r="D2868" s="444" t="s">
        <v>280</v>
      </c>
      <c r="E2868" s="444"/>
      <c r="F2868" s="444"/>
      <c r="G2868" s="444"/>
      <c r="H2868" s="444"/>
      <c r="I2868" s="29">
        <f t="shared" si="197"/>
        <v>0</v>
      </c>
      <c r="J2868" s="29">
        <f t="shared" si="197"/>
        <v>0</v>
      </c>
      <c r="K2868" s="29">
        <f t="shared" si="197"/>
        <v>0</v>
      </c>
      <c r="L2868" s="80"/>
    </row>
    <row r="2869" spans="1:12" s="82" customFormat="1" ht="12.75" customHeight="1">
      <c r="A2869" s="407"/>
      <c r="C2869" s="149"/>
      <c r="D2869" s="444" t="s">
        <v>281</v>
      </c>
      <c r="E2869" s="444"/>
      <c r="F2869" s="444"/>
      <c r="G2869" s="444"/>
      <c r="H2869" s="444"/>
      <c r="I2869" s="29">
        <f t="shared" si="197"/>
        <v>-6445</v>
      </c>
      <c r="J2869" s="29">
        <f t="shared" si="197"/>
        <v>0</v>
      </c>
      <c r="K2869" s="29">
        <f t="shared" si="197"/>
        <v>-6445</v>
      </c>
      <c r="L2869" s="80"/>
    </row>
    <row r="2870" spans="1:12" s="82" customFormat="1" ht="7.5" customHeight="1">
      <c r="A2870" s="407"/>
      <c r="C2870" s="149"/>
      <c r="D2870" s="85"/>
      <c r="E2870" s="85"/>
      <c r="F2870" s="85"/>
      <c r="G2870" s="85"/>
      <c r="H2870" s="85"/>
      <c r="I2870" s="29"/>
      <c r="J2870" s="29"/>
      <c r="K2870" s="29"/>
      <c r="L2870" s="80"/>
    </row>
    <row r="2871" spans="1:12" s="95" customFormat="1" ht="11.25" customHeight="1">
      <c r="A2871" s="407"/>
      <c r="C2871" s="153" t="s">
        <v>116</v>
      </c>
      <c r="D2871" s="434" t="s">
        <v>192</v>
      </c>
      <c r="E2871" s="434"/>
      <c r="F2871" s="434"/>
      <c r="G2871" s="434"/>
      <c r="H2871" s="434"/>
      <c r="I2871" s="129"/>
      <c r="J2871" s="127"/>
      <c r="K2871" s="127"/>
      <c r="L2871" s="127"/>
    </row>
    <row r="2872" spans="1:12" s="82" customFormat="1" ht="13.5" customHeight="1">
      <c r="A2872" s="407"/>
      <c r="C2872" s="149"/>
      <c r="D2872" s="447" t="s">
        <v>37</v>
      </c>
      <c r="E2872" s="447"/>
      <c r="F2872" s="447"/>
      <c r="G2872" s="447"/>
      <c r="H2872" s="447"/>
      <c r="I2872" s="77">
        <f>SUM(I2873:I2875)</f>
        <v>116315</v>
      </c>
      <c r="J2872" s="77">
        <f>SUM(J2873:J2875)</f>
        <v>9142</v>
      </c>
      <c r="K2872" s="77">
        <f>SUM(K2873:K2875)</f>
        <v>125457</v>
      </c>
      <c r="L2872" s="80"/>
    </row>
    <row r="2873" spans="1:12" s="82" customFormat="1" ht="13.5" customHeight="1">
      <c r="A2873" s="407"/>
      <c r="C2873" s="149"/>
      <c r="D2873" s="446" t="s">
        <v>5</v>
      </c>
      <c r="E2873" s="446"/>
      <c r="F2873" s="446"/>
      <c r="G2873" s="446"/>
      <c r="H2873" s="446"/>
      <c r="I2873" s="29">
        <v>110668</v>
      </c>
      <c r="J2873" s="80">
        <f>9142</f>
        <v>9142</v>
      </c>
      <c r="K2873" s="80">
        <f>SUM(I2873:J2873)</f>
        <v>119810</v>
      </c>
      <c r="L2873" s="80"/>
    </row>
    <row r="2874" spans="1:12" s="82" customFormat="1" ht="12.75" customHeight="1">
      <c r="A2874" s="407"/>
      <c r="C2874" s="149"/>
      <c r="D2874" s="446" t="s">
        <v>6</v>
      </c>
      <c r="E2874" s="446"/>
      <c r="F2874" s="446"/>
      <c r="G2874" s="446"/>
      <c r="H2874" s="446"/>
      <c r="I2874" s="29">
        <v>5647</v>
      </c>
      <c r="J2874" s="80"/>
      <c r="K2874" s="80">
        <f>SUM(I2874:J2874)</f>
        <v>5647</v>
      </c>
      <c r="L2874" s="80"/>
    </row>
    <row r="2875" spans="1:12" s="82" customFormat="1" ht="13.5" customHeight="1" hidden="1">
      <c r="A2875" s="407"/>
      <c r="C2875" s="149"/>
      <c r="D2875" s="446" t="s">
        <v>7</v>
      </c>
      <c r="E2875" s="446"/>
      <c r="F2875" s="446"/>
      <c r="G2875" s="446"/>
      <c r="H2875" s="446"/>
      <c r="I2875" s="29"/>
      <c r="J2875" s="80"/>
      <c r="K2875" s="80">
        <f>SUM(I2875:J2875)</f>
        <v>0</v>
      </c>
      <c r="L2875" s="80"/>
    </row>
    <row r="2876" spans="1:12" s="82" customFormat="1" ht="11.25" customHeight="1">
      <c r="A2876" s="407"/>
      <c r="C2876" s="149"/>
      <c r="D2876" s="447" t="s">
        <v>38</v>
      </c>
      <c r="E2876" s="447"/>
      <c r="F2876" s="447"/>
      <c r="G2876" s="447"/>
      <c r="H2876" s="447"/>
      <c r="I2876" s="254">
        <f>SUM(I2877:I2882)</f>
        <v>116890</v>
      </c>
      <c r="J2876" s="254">
        <f>SUM(J2877:J2882)</f>
        <v>9142</v>
      </c>
      <c r="K2876" s="254">
        <f>SUM(K2877:K2882)</f>
        <v>126032</v>
      </c>
      <c r="L2876" s="80"/>
    </row>
    <row r="2877" spans="1:12" s="82" customFormat="1" ht="10.5" customHeight="1">
      <c r="A2877" s="407"/>
      <c r="C2877" s="149"/>
      <c r="D2877" s="446" t="s">
        <v>289</v>
      </c>
      <c r="E2877" s="446"/>
      <c r="F2877" s="446"/>
      <c r="G2877" s="446"/>
      <c r="H2877" s="446"/>
      <c r="I2877" s="29">
        <v>53266</v>
      </c>
      <c r="J2877" s="80">
        <f>4700+782</f>
        <v>5482</v>
      </c>
      <c r="K2877" s="80">
        <f aca="true" t="shared" si="198" ref="K2877:K2882">SUM(I2877:J2877)</f>
        <v>58748</v>
      </c>
      <c r="L2877" s="80"/>
    </row>
    <row r="2878" spans="1:12" s="82" customFormat="1" ht="12" customHeight="1">
      <c r="A2878" s="407"/>
      <c r="C2878" s="149"/>
      <c r="D2878" s="444" t="s">
        <v>8</v>
      </c>
      <c r="E2878" s="448"/>
      <c r="F2878" s="448"/>
      <c r="G2878" s="448"/>
      <c r="H2878" s="448"/>
      <c r="I2878" s="29">
        <f>57402+5275</f>
        <v>62677</v>
      </c>
      <c r="J2878" s="80"/>
      <c r="K2878" s="80">
        <f t="shared" si="198"/>
        <v>62677</v>
      </c>
      <c r="L2878" s="80"/>
    </row>
    <row r="2879" spans="1:12" s="82" customFormat="1" ht="13.5" customHeight="1" hidden="1">
      <c r="A2879" s="407"/>
      <c r="C2879" s="149"/>
      <c r="D2879" s="444" t="s">
        <v>10</v>
      </c>
      <c r="E2879" s="444"/>
      <c r="F2879" s="444"/>
      <c r="G2879" s="444"/>
      <c r="H2879" s="444"/>
      <c r="I2879" s="29"/>
      <c r="J2879" s="80"/>
      <c r="K2879" s="80">
        <f t="shared" si="198"/>
        <v>0</v>
      </c>
      <c r="L2879" s="80"/>
    </row>
    <row r="2880" spans="1:12" s="82" customFormat="1" ht="13.5" customHeight="1" hidden="1">
      <c r="A2880" s="407"/>
      <c r="C2880" s="149"/>
      <c r="D2880" s="444" t="s">
        <v>9</v>
      </c>
      <c r="E2880" s="444"/>
      <c r="F2880" s="444"/>
      <c r="G2880" s="444"/>
      <c r="H2880" s="444"/>
      <c r="I2880" s="29"/>
      <c r="J2880" s="80"/>
      <c r="K2880" s="80">
        <f t="shared" si="198"/>
        <v>0</v>
      </c>
      <c r="L2880" s="80"/>
    </row>
    <row r="2881" spans="1:12" s="82" customFormat="1" ht="12.75" customHeight="1">
      <c r="A2881" s="407"/>
      <c r="C2881" s="151"/>
      <c r="D2881" s="444" t="s">
        <v>11</v>
      </c>
      <c r="E2881" s="444"/>
      <c r="F2881" s="444"/>
      <c r="G2881" s="444"/>
      <c r="H2881" s="444"/>
      <c r="I2881" s="29">
        <v>947</v>
      </c>
      <c r="J2881" s="29">
        <f>3660</f>
        <v>3660</v>
      </c>
      <c r="K2881" s="80">
        <f t="shared" si="198"/>
        <v>4607</v>
      </c>
      <c r="L2881" s="80"/>
    </row>
    <row r="2882" spans="1:12" s="82" customFormat="1" ht="13.5" customHeight="1" hidden="1">
      <c r="A2882" s="407"/>
      <c r="C2882" s="149"/>
      <c r="D2882" s="444" t="s">
        <v>12</v>
      </c>
      <c r="E2882" s="444"/>
      <c r="F2882" s="444"/>
      <c r="G2882" s="444"/>
      <c r="H2882" s="444"/>
      <c r="I2882" s="29"/>
      <c r="J2882" s="80"/>
      <c r="K2882" s="80">
        <f t="shared" si="198"/>
        <v>0</v>
      </c>
      <c r="L2882" s="80"/>
    </row>
    <row r="2883" spans="1:12" s="82" customFormat="1" ht="13.5" customHeight="1">
      <c r="A2883" s="407"/>
      <c r="C2883" s="149"/>
      <c r="D2883" s="445" t="s">
        <v>277</v>
      </c>
      <c r="E2883" s="445"/>
      <c r="F2883" s="445"/>
      <c r="G2883" s="445"/>
      <c r="H2883" s="445"/>
      <c r="I2883" s="77">
        <f>I2872-I2876</f>
        <v>-575</v>
      </c>
      <c r="J2883" s="77">
        <f>J2872-J2876</f>
        <v>0</v>
      </c>
      <c r="K2883" s="77">
        <f>K2872-K2876</f>
        <v>-575</v>
      </c>
      <c r="L2883" s="80"/>
    </row>
    <row r="2884" spans="1:12" s="82" customFormat="1" ht="13.5" customHeight="1">
      <c r="A2884" s="407"/>
      <c r="C2884" s="149"/>
      <c r="D2884" s="444" t="s">
        <v>279</v>
      </c>
      <c r="E2884" s="444"/>
      <c r="F2884" s="444"/>
      <c r="G2884" s="444"/>
      <c r="H2884" s="444"/>
      <c r="I2884" s="29">
        <f>I2885+I2886+I2887</f>
        <v>575</v>
      </c>
      <c r="J2884" s="29">
        <f>J2885+J2886+J2887</f>
        <v>0</v>
      </c>
      <c r="K2884" s="29">
        <f>K2885+K2886+K2887</f>
        <v>575</v>
      </c>
      <c r="L2884" s="80"/>
    </row>
    <row r="2885" spans="1:12" s="82" customFormat="1" ht="12.75" customHeight="1">
      <c r="A2885" s="407"/>
      <c r="C2885" s="149"/>
      <c r="D2885" s="444" t="s">
        <v>278</v>
      </c>
      <c r="E2885" s="444"/>
      <c r="F2885" s="444"/>
      <c r="G2885" s="444"/>
      <c r="H2885" s="444"/>
      <c r="I2885" s="29">
        <v>575</v>
      </c>
      <c r="J2885" s="77"/>
      <c r="K2885" s="80">
        <f>SUM(I2885:J2885)</f>
        <v>575</v>
      </c>
      <c r="L2885" s="80"/>
    </row>
    <row r="2886" spans="1:12" s="82" customFormat="1" ht="13.5" customHeight="1" hidden="1">
      <c r="A2886" s="407"/>
      <c r="C2886" s="149"/>
      <c r="D2886" s="444" t="s">
        <v>280</v>
      </c>
      <c r="E2886" s="444"/>
      <c r="F2886" s="444"/>
      <c r="G2886" s="444"/>
      <c r="H2886" s="444"/>
      <c r="I2886" s="29"/>
      <c r="J2886" s="77"/>
      <c r="K2886" s="80">
        <f>SUM(I2886:J2886)</f>
        <v>0</v>
      </c>
      <c r="L2886" s="80"/>
    </row>
    <row r="2887" spans="1:12" s="82" customFormat="1" ht="13.5" customHeight="1" hidden="1">
      <c r="A2887" s="407"/>
      <c r="C2887" s="149"/>
      <c r="D2887" s="444" t="s">
        <v>281</v>
      </c>
      <c r="E2887" s="444"/>
      <c r="F2887" s="444"/>
      <c r="G2887" s="444"/>
      <c r="H2887" s="444"/>
      <c r="I2887" s="29"/>
      <c r="J2887" s="77"/>
      <c r="K2887" s="80">
        <f>SUM(I2887:J2887)</f>
        <v>0</v>
      </c>
      <c r="L2887" s="80"/>
    </row>
    <row r="2888" spans="1:12" s="82" customFormat="1" ht="2.25" customHeight="1">
      <c r="A2888" s="407"/>
      <c r="C2888" s="149"/>
      <c r="D2888" s="85"/>
      <c r="E2888" s="85"/>
      <c r="F2888" s="85"/>
      <c r="G2888" s="85"/>
      <c r="H2888" s="85"/>
      <c r="I2888" s="29"/>
      <c r="J2888" s="80"/>
      <c r="K2888" s="29"/>
      <c r="L2888" s="80"/>
    </row>
    <row r="2889" spans="1:12" s="147" customFormat="1" ht="13.5" customHeight="1">
      <c r="A2889" s="410"/>
      <c r="C2889" s="172" t="s">
        <v>115</v>
      </c>
      <c r="D2889" s="449" t="s">
        <v>204</v>
      </c>
      <c r="E2889" s="449"/>
      <c r="F2889" s="449"/>
      <c r="G2889" s="449"/>
      <c r="H2889" s="449"/>
      <c r="I2889" s="129"/>
      <c r="J2889" s="127"/>
      <c r="K2889" s="127"/>
      <c r="L2889" s="245"/>
    </row>
    <row r="2890" spans="1:12" s="33" customFormat="1" ht="13.5" customHeight="1">
      <c r="A2890" s="410"/>
      <c r="C2890" s="164"/>
      <c r="D2890" s="447" t="s">
        <v>37</v>
      </c>
      <c r="E2890" s="447"/>
      <c r="F2890" s="447"/>
      <c r="G2890" s="447"/>
      <c r="H2890" s="447"/>
      <c r="I2890" s="77">
        <f>SUM(I2891:I2893)</f>
        <v>179299</v>
      </c>
      <c r="J2890" s="77">
        <f>SUM(J2891:J2893)</f>
        <v>14780</v>
      </c>
      <c r="K2890" s="77">
        <f>SUM(K2891:K2893)</f>
        <v>194079</v>
      </c>
      <c r="L2890" s="175"/>
    </row>
    <row r="2891" spans="1:12" s="33" customFormat="1" ht="12" customHeight="1">
      <c r="A2891" s="410"/>
      <c r="C2891" s="164"/>
      <c r="D2891" s="446" t="s">
        <v>5</v>
      </c>
      <c r="E2891" s="446"/>
      <c r="F2891" s="446"/>
      <c r="G2891" s="446"/>
      <c r="H2891" s="446"/>
      <c r="I2891" s="29">
        <v>171397</v>
      </c>
      <c r="J2891" s="80">
        <f>12100+2680</f>
        <v>14780</v>
      </c>
      <c r="K2891" s="80">
        <f>SUM(I2891:J2891)</f>
        <v>186177</v>
      </c>
      <c r="L2891" s="175"/>
    </row>
    <row r="2892" spans="1:12" s="33" customFormat="1" ht="12.75" customHeight="1">
      <c r="A2892" s="410"/>
      <c r="C2892" s="164"/>
      <c r="D2892" s="446" t="s">
        <v>6</v>
      </c>
      <c r="E2892" s="446"/>
      <c r="F2892" s="446"/>
      <c r="G2892" s="446"/>
      <c r="H2892" s="446"/>
      <c r="I2892" s="29">
        <v>7902</v>
      </c>
      <c r="J2892" s="80"/>
      <c r="K2892" s="80">
        <f>SUM(I2892:J2892)</f>
        <v>7902</v>
      </c>
      <c r="L2892" s="175"/>
    </row>
    <row r="2893" spans="1:12" s="33" customFormat="1" ht="13.5" customHeight="1" hidden="1">
      <c r="A2893" s="410"/>
      <c r="C2893" s="164"/>
      <c r="D2893" s="446" t="s">
        <v>7</v>
      </c>
      <c r="E2893" s="446"/>
      <c r="F2893" s="446"/>
      <c r="G2893" s="446"/>
      <c r="H2893" s="446"/>
      <c r="I2893" s="29"/>
      <c r="J2893" s="80"/>
      <c r="K2893" s="80">
        <f>SUM(I2893:J2893)</f>
        <v>0</v>
      </c>
      <c r="L2893" s="175"/>
    </row>
    <row r="2894" spans="1:12" s="33" customFormat="1" ht="13.5" customHeight="1">
      <c r="A2894" s="410"/>
      <c r="C2894" s="164"/>
      <c r="D2894" s="447" t="s">
        <v>38</v>
      </c>
      <c r="E2894" s="447"/>
      <c r="F2894" s="447"/>
      <c r="G2894" s="447"/>
      <c r="H2894" s="447"/>
      <c r="I2894" s="254">
        <f>SUM(I2895:I2900)</f>
        <v>184449</v>
      </c>
      <c r="J2894" s="254">
        <f>SUM(J2895:J2900)</f>
        <v>14780</v>
      </c>
      <c r="K2894" s="254">
        <f>SUM(K2895:K2900)</f>
        <v>199229</v>
      </c>
      <c r="L2894" s="175"/>
    </row>
    <row r="2895" spans="1:12" s="33" customFormat="1" ht="10.5" customHeight="1">
      <c r="A2895" s="410"/>
      <c r="C2895" s="164"/>
      <c r="D2895" s="446" t="s">
        <v>289</v>
      </c>
      <c r="E2895" s="446"/>
      <c r="F2895" s="446"/>
      <c r="G2895" s="446"/>
      <c r="H2895" s="446"/>
      <c r="I2895" s="29">
        <v>155038</v>
      </c>
      <c r="J2895" s="80">
        <f>12100+2680</f>
        <v>14780</v>
      </c>
      <c r="K2895" s="80">
        <f aca="true" t="shared" si="199" ref="K2895:K2900">SUM(I2895:J2895)</f>
        <v>169818</v>
      </c>
      <c r="L2895" s="175"/>
    </row>
    <row r="2896" spans="1:12" s="33" customFormat="1" ht="12.75" customHeight="1">
      <c r="A2896" s="410"/>
      <c r="C2896" s="164"/>
      <c r="D2896" s="444" t="s">
        <v>8</v>
      </c>
      <c r="E2896" s="448"/>
      <c r="F2896" s="448"/>
      <c r="G2896" s="448"/>
      <c r="H2896" s="448"/>
      <c r="I2896" s="29">
        <f>16359+12502</f>
        <v>28861</v>
      </c>
      <c r="J2896" s="80"/>
      <c r="K2896" s="80">
        <f t="shared" si="199"/>
        <v>28861</v>
      </c>
      <c r="L2896" s="175"/>
    </row>
    <row r="2897" spans="1:12" s="33" customFormat="1" ht="13.5" customHeight="1" hidden="1">
      <c r="A2897" s="410"/>
      <c r="C2897" s="164"/>
      <c r="D2897" s="444" t="s">
        <v>10</v>
      </c>
      <c r="E2897" s="444"/>
      <c r="F2897" s="444"/>
      <c r="G2897" s="444"/>
      <c r="H2897" s="444"/>
      <c r="I2897" s="29"/>
      <c r="J2897" s="80"/>
      <c r="K2897" s="80">
        <f t="shared" si="199"/>
        <v>0</v>
      </c>
      <c r="L2897" s="175"/>
    </row>
    <row r="2898" spans="1:12" s="33" customFormat="1" ht="13.5" customHeight="1" hidden="1">
      <c r="A2898" s="410"/>
      <c r="C2898" s="164"/>
      <c r="D2898" s="444" t="s">
        <v>9</v>
      </c>
      <c r="E2898" s="444"/>
      <c r="F2898" s="444"/>
      <c r="G2898" s="444"/>
      <c r="H2898" s="444"/>
      <c r="I2898" s="29"/>
      <c r="J2898" s="80"/>
      <c r="K2898" s="80">
        <f t="shared" si="199"/>
        <v>0</v>
      </c>
      <c r="L2898" s="175"/>
    </row>
    <row r="2899" spans="1:12" s="33" customFormat="1" ht="13.5" customHeight="1">
      <c r="A2899" s="410"/>
      <c r="C2899" s="152"/>
      <c r="D2899" s="444" t="s">
        <v>11</v>
      </c>
      <c r="E2899" s="444"/>
      <c r="F2899" s="444"/>
      <c r="G2899" s="444"/>
      <c r="H2899" s="444"/>
      <c r="I2899" s="29">
        <v>550</v>
      </c>
      <c r="J2899" s="77"/>
      <c r="K2899" s="80">
        <f t="shared" si="199"/>
        <v>550</v>
      </c>
      <c r="L2899" s="175"/>
    </row>
    <row r="2900" spans="1:12" s="33" customFormat="1" ht="13.5" customHeight="1" hidden="1">
      <c r="A2900" s="410"/>
      <c r="C2900" s="152"/>
      <c r="D2900" s="444" t="s">
        <v>12</v>
      </c>
      <c r="E2900" s="444"/>
      <c r="F2900" s="444"/>
      <c r="G2900" s="444"/>
      <c r="H2900" s="444"/>
      <c r="I2900" s="29"/>
      <c r="J2900" s="80"/>
      <c r="K2900" s="80">
        <f t="shared" si="199"/>
        <v>0</v>
      </c>
      <c r="L2900" s="175"/>
    </row>
    <row r="2901" spans="1:12" s="33" customFormat="1" ht="12.75" customHeight="1">
      <c r="A2901" s="410"/>
      <c r="C2901" s="152"/>
      <c r="D2901" s="445" t="s">
        <v>277</v>
      </c>
      <c r="E2901" s="445"/>
      <c r="F2901" s="445"/>
      <c r="G2901" s="445"/>
      <c r="H2901" s="445"/>
      <c r="I2901" s="77">
        <f>I2890-I2894</f>
        <v>-5150</v>
      </c>
      <c r="J2901" s="77">
        <f>J2890-J2894</f>
        <v>0</v>
      </c>
      <c r="K2901" s="77">
        <f>K2890-K2894</f>
        <v>-5150</v>
      </c>
      <c r="L2901" s="175"/>
    </row>
    <row r="2902" spans="1:12" s="33" customFormat="1" ht="13.5" customHeight="1">
      <c r="A2902" s="410"/>
      <c r="C2902" s="152"/>
      <c r="D2902" s="444" t="s">
        <v>279</v>
      </c>
      <c r="E2902" s="444"/>
      <c r="F2902" s="444"/>
      <c r="G2902" s="444"/>
      <c r="H2902" s="444"/>
      <c r="I2902" s="29">
        <f>I2903+I2904+I2905</f>
        <v>5150</v>
      </c>
      <c r="J2902" s="29">
        <f>J2903+J2904+J2905</f>
        <v>0</v>
      </c>
      <c r="K2902" s="29">
        <f>K2903+K2904+K2905</f>
        <v>5150</v>
      </c>
      <c r="L2902" s="175"/>
    </row>
    <row r="2903" spans="1:12" s="33" customFormat="1" ht="12.75" customHeight="1">
      <c r="A2903" s="410"/>
      <c r="C2903" s="152"/>
      <c r="D2903" s="444" t="s">
        <v>278</v>
      </c>
      <c r="E2903" s="444"/>
      <c r="F2903" s="444"/>
      <c r="G2903" s="444"/>
      <c r="H2903" s="444"/>
      <c r="I2903" s="29">
        <v>5150</v>
      </c>
      <c r="J2903" s="77"/>
      <c r="K2903" s="80">
        <f>SUM(I2903:J2903)</f>
        <v>5150</v>
      </c>
      <c r="L2903" s="175"/>
    </row>
    <row r="2904" spans="1:12" s="33" customFormat="1" ht="13.5" customHeight="1" hidden="1">
      <c r="A2904" s="410"/>
      <c r="C2904" s="152"/>
      <c r="D2904" s="444" t="s">
        <v>280</v>
      </c>
      <c r="E2904" s="444"/>
      <c r="F2904" s="444"/>
      <c r="G2904" s="444"/>
      <c r="H2904" s="444"/>
      <c r="I2904" s="29"/>
      <c r="J2904" s="77"/>
      <c r="K2904" s="80">
        <f>SUM(I2904:J2904)</f>
        <v>0</v>
      </c>
      <c r="L2904" s="175"/>
    </row>
    <row r="2905" spans="1:12" s="33" customFormat="1" ht="13.5" customHeight="1" hidden="1">
      <c r="A2905" s="410"/>
      <c r="C2905" s="152"/>
      <c r="D2905" s="444" t="s">
        <v>281</v>
      </c>
      <c r="E2905" s="444"/>
      <c r="F2905" s="444"/>
      <c r="G2905" s="444"/>
      <c r="H2905" s="444"/>
      <c r="I2905" s="29"/>
      <c r="J2905" s="77"/>
      <c r="K2905" s="80">
        <f>SUM(I2905:J2905)</f>
        <v>0</v>
      </c>
      <c r="L2905" s="175"/>
    </row>
    <row r="2906" spans="1:12" s="33" customFormat="1" ht="2.25" customHeight="1">
      <c r="A2906" s="410"/>
      <c r="C2906" s="152"/>
      <c r="D2906" s="85"/>
      <c r="E2906" s="85"/>
      <c r="F2906" s="85"/>
      <c r="G2906" s="85"/>
      <c r="H2906" s="85"/>
      <c r="I2906" s="29"/>
      <c r="J2906" s="80"/>
      <c r="K2906" s="80"/>
      <c r="L2906" s="175"/>
    </row>
    <row r="2907" spans="1:12" s="95" customFormat="1" ht="13.5" customHeight="1">
      <c r="A2907" s="407"/>
      <c r="C2907" s="153" t="s">
        <v>114</v>
      </c>
      <c r="D2907" s="449" t="s">
        <v>4</v>
      </c>
      <c r="E2907" s="449"/>
      <c r="F2907" s="449"/>
      <c r="G2907" s="449"/>
      <c r="H2907" s="449"/>
      <c r="I2907" s="129"/>
      <c r="J2907" s="127"/>
      <c r="K2907" s="127"/>
      <c r="L2907" s="127"/>
    </row>
    <row r="2908" spans="1:12" s="82" customFormat="1" ht="12" customHeight="1">
      <c r="A2908" s="407"/>
      <c r="C2908" s="149"/>
      <c r="D2908" s="447" t="s">
        <v>37</v>
      </c>
      <c r="E2908" s="447"/>
      <c r="F2908" s="447"/>
      <c r="G2908" s="447"/>
      <c r="H2908" s="447"/>
      <c r="I2908" s="77">
        <f>SUM(I2909:I2911)</f>
        <v>2770932</v>
      </c>
      <c r="J2908" s="77">
        <f>SUM(J2909:J2911)</f>
        <v>57832</v>
      </c>
      <c r="K2908" s="77">
        <f>SUM(K2909:K2911)</f>
        <v>2828764</v>
      </c>
      <c r="L2908" s="80"/>
    </row>
    <row r="2909" spans="1:12" s="82" customFormat="1" ht="13.5" customHeight="1">
      <c r="A2909" s="407"/>
      <c r="C2909" s="149"/>
      <c r="D2909" s="446" t="s">
        <v>5</v>
      </c>
      <c r="E2909" s="446"/>
      <c r="F2909" s="446"/>
      <c r="G2909" s="446"/>
      <c r="H2909" s="446"/>
      <c r="I2909" s="29">
        <f>2723381+24853</f>
        <v>2748234</v>
      </c>
      <c r="J2909" s="80">
        <f>29400+4903+19869+3660</f>
        <v>57832</v>
      </c>
      <c r="K2909" s="80">
        <f>SUM(I2909:J2909)</f>
        <v>2806066</v>
      </c>
      <c r="L2909" s="80"/>
    </row>
    <row r="2910" spans="1:12" s="82" customFormat="1" ht="13.5" customHeight="1">
      <c r="A2910" s="407"/>
      <c r="C2910" s="149"/>
      <c r="D2910" s="446" t="s">
        <v>6</v>
      </c>
      <c r="E2910" s="446"/>
      <c r="F2910" s="446"/>
      <c r="G2910" s="446"/>
      <c r="H2910" s="446"/>
      <c r="I2910" s="29">
        <v>22698</v>
      </c>
      <c r="J2910" s="80"/>
      <c r="K2910" s="80">
        <f>SUM(I2910:J2910)</f>
        <v>22698</v>
      </c>
      <c r="L2910" s="80"/>
    </row>
    <row r="2911" spans="1:12" s="82" customFormat="1" ht="13.5" customHeight="1" hidden="1">
      <c r="A2911" s="407"/>
      <c r="C2911" s="149"/>
      <c r="D2911" s="446" t="s">
        <v>7</v>
      </c>
      <c r="E2911" s="446"/>
      <c r="F2911" s="446"/>
      <c r="G2911" s="446"/>
      <c r="H2911" s="446"/>
      <c r="I2911" s="29"/>
      <c r="J2911" s="80"/>
      <c r="K2911" s="80">
        <f>SUM(I2911:J2911)</f>
        <v>0</v>
      </c>
      <c r="L2911" s="80"/>
    </row>
    <row r="2912" spans="1:12" s="82" customFormat="1" ht="12" customHeight="1">
      <c r="A2912" s="407"/>
      <c r="C2912" s="149"/>
      <c r="D2912" s="447" t="s">
        <v>38</v>
      </c>
      <c r="E2912" s="447"/>
      <c r="F2912" s="447"/>
      <c r="G2912" s="447"/>
      <c r="H2912" s="447"/>
      <c r="I2912" s="254">
        <f>SUM(I2913:I2918)</f>
        <v>2775129</v>
      </c>
      <c r="J2912" s="254">
        <f>SUM(J2913:J2918)</f>
        <v>57832</v>
      </c>
      <c r="K2912" s="254">
        <f>SUM(K2913:K2918)</f>
        <v>2832961</v>
      </c>
      <c r="L2912" s="80"/>
    </row>
    <row r="2913" spans="1:12" s="82" customFormat="1" ht="12" customHeight="1">
      <c r="A2913" s="407"/>
      <c r="C2913" s="149"/>
      <c r="D2913" s="446" t="s">
        <v>289</v>
      </c>
      <c r="E2913" s="446"/>
      <c r="F2913" s="446"/>
      <c r="G2913" s="446"/>
      <c r="H2913" s="446"/>
      <c r="I2913" s="29">
        <v>345990</v>
      </c>
      <c r="J2913" s="80">
        <f>29400+4903</f>
        <v>34303</v>
      </c>
      <c r="K2913" s="80">
        <f aca="true" t="shared" si="200" ref="K2913:K2918">SUM(I2913:J2913)</f>
        <v>380293</v>
      </c>
      <c r="L2913" s="80"/>
    </row>
    <row r="2914" spans="1:12" s="82" customFormat="1" ht="12" customHeight="1">
      <c r="A2914" s="407"/>
      <c r="C2914" s="149"/>
      <c r="D2914" s="444" t="s">
        <v>8</v>
      </c>
      <c r="E2914" s="448"/>
      <c r="F2914" s="448"/>
      <c r="G2914" s="448"/>
      <c r="H2914" s="448"/>
      <c r="I2914" s="29">
        <f>313931+26345</f>
        <v>340276</v>
      </c>
      <c r="J2914" s="80">
        <f>19869</f>
        <v>19869</v>
      </c>
      <c r="K2914" s="80">
        <f t="shared" si="200"/>
        <v>360145</v>
      </c>
      <c r="L2914" s="80"/>
    </row>
    <row r="2915" spans="1:12" s="82" customFormat="1" ht="13.5" customHeight="1" hidden="1">
      <c r="A2915" s="407"/>
      <c r="C2915" s="149"/>
      <c r="D2915" s="444" t="s">
        <v>10</v>
      </c>
      <c r="E2915" s="444"/>
      <c r="F2915" s="444"/>
      <c r="G2915" s="444"/>
      <c r="H2915" s="444"/>
      <c r="I2915" s="29"/>
      <c r="J2915" s="80"/>
      <c r="K2915" s="80">
        <f t="shared" si="200"/>
        <v>0</v>
      </c>
      <c r="L2915" s="80"/>
    </row>
    <row r="2916" spans="1:12" s="82" customFormat="1" ht="13.5" customHeight="1" hidden="1">
      <c r="A2916" s="407"/>
      <c r="C2916" s="149"/>
      <c r="D2916" s="444" t="s">
        <v>9</v>
      </c>
      <c r="E2916" s="444"/>
      <c r="F2916" s="444"/>
      <c r="G2916" s="444"/>
      <c r="H2916" s="444"/>
      <c r="I2916" s="29"/>
      <c r="J2916" s="80"/>
      <c r="K2916" s="80">
        <f t="shared" si="200"/>
        <v>0</v>
      </c>
      <c r="L2916" s="80"/>
    </row>
    <row r="2917" spans="1:12" s="82" customFormat="1" ht="13.5" customHeight="1">
      <c r="A2917" s="407"/>
      <c r="C2917" s="149"/>
      <c r="D2917" s="444" t="s">
        <v>11</v>
      </c>
      <c r="E2917" s="444"/>
      <c r="F2917" s="444"/>
      <c r="G2917" s="444"/>
      <c r="H2917" s="444"/>
      <c r="I2917" s="29">
        <v>550</v>
      </c>
      <c r="J2917" s="80">
        <f>3660</f>
        <v>3660</v>
      </c>
      <c r="K2917" s="80">
        <f t="shared" si="200"/>
        <v>4210</v>
      </c>
      <c r="L2917" s="80"/>
    </row>
    <row r="2918" spans="1:13" s="79" customFormat="1" ht="13.5" customHeight="1">
      <c r="A2918" s="407"/>
      <c r="C2918" s="151"/>
      <c r="D2918" s="444" t="s">
        <v>12</v>
      </c>
      <c r="E2918" s="444"/>
      <c r="F2918" s="444"/>
      <c r="G2918" s="444"/>
      <c r="H2918" s="444"/>
      <c r="I2918" s="29">
        <f>2063460+24853</f>
        <v>2088313</v>
      </c>
      <c r="J2918" s="29"/>
      <c r="K2918" s="80">
        <f t="shared" si="200"/>
        <v>2088313</v>
      </c>
      <c r="L2918" s="80"/>
      <c r="M2918" s="82"/>
    </row>
    <row r="2919" spans="1:13" s="79" customFormat="1" ht="13.5" customHeight="1">
      <c r="A2919" s="407"/>
      <c r="C2919" s="151"/>
      <c r="D2919" s="445" t="s">
        <v>277</v>
      </c>
      <c r="E2919" s="445"/>
      <c r="F2919" s="445"/>
      <c r="G2919" s="445"/>
      <c r="H2919" s="445"/>
      <c r="I2919" s="77">
        <f>I2908-I2912</f>
        <v>-4197</v>
      </c>
      <c r="J2919" s="77">
        <f>J2908-J2912</f>
        <v>0</v>
      </c>
      <c r="K2919" s="77">
        <f>K2908-K2912</f>
        <v>-4197</v>
      </c>
      <c r="L2919" s="80"/>
      <c r="M2919" s="82"/>
    </row>
    <row r="2920" spans="1:13" s="79" customFormat="1" ht="13.5" customHeight="1">
      <c r="A2920" s="407"/>
      <c r="C2920" s="151"/>
      <c r="D2920" s="444" t="s">
        <v>279</v>
      </c>
      <c r="E2920" s="444"/>
      <c r="F2920" s="444"/>
      <c r="G2920" s="444"/>
      <c r="H2920" s="444"/>
      <c r="I2920" s="29">
        <f>I2921+I2922+I2923</f>
        <v>4197</v>
      </c>
      <c r="J2920" s="29">
        <f>J2921+J2922+J2923</f>
        <v>0</v>
      </c>
      <c r="K2920" s="29">
        <f>K2921+K2922+K2923</f>
        <v>4197</v>
      </c>
      <c r="L2920" s="80"/>
      <c r="M2920" s="82"/>
    </row>
    <row r="2921" spans="1:13" s="79" customFormat="1" ht="12.75" customHeight="1">
      <c r="A2921" s="407"/>
      <c r="C2921" s="151"/>
      <c r="D2921" s="444" t="s">
        <v>278</v>
      </c>
      <c r="E2921" s="444"/>
      <c r="F2921" s="444"/>
      <c r="G2921" s="444"/>
      <c r="H2921" s="444"/>
      <c r="I2921" s="29">
        <v>4197</v>
      </c>
      <c r="J2921" s="77"/>
      <c r="K2921" s="80">
        <f>SUM(I2921:J2921)</f>
        <v>4197</v>
      </c>
      <c r="L2921" s="80"/>
      <c r="M2921" s="82"/>
    </row>
    <row r="2922" spans="1:13" s="79" customFormat="1" ht="13.5" customHeight="1" hidden="1">
      <c r="A2922" s="407"/>
      <c r="C2922" s="151"/>
      <c r="D2922" s="444" t="s">
        <v>280</v>
      </c>
      <c r="E2922" s="444"/>
      <c r="F2922" s="444"/>
      <c r="G2922" s="444"/>
      <c r="H2922" s="444"/>
      <c r="I2922" s="29"/>
      <c r="J2922" s="77"/>
      <c r="K2922" s="80">
        <f>SUM(I2922:J2922)</f>
        <v>0</v>
      </c>
      <c r="L2922" s="80"/>
      <c r="M2922" s="82"/>
    </row>
    <row r="2923" spans="1:13" s="79" customFormat="1" ht="13.5" customHeight="1" hidden="1">
      <c r="A2923" s="407"/>
      <c r="C2923" s="151"/>
      <c r="D2923" s="444" t="s">
        <v>281</v>
      </c>
      <c r="E2923" s="444"/>
      <c r="F2923" s="444"/>
      <c r="G2923" s="444"/>
      <c r="H2923" s="444"/>
      <c r="I2923" s="29"/>
      <c r="J2923" s="77"/>
      <c r="K2923" s="80">
        <f>SUM(I2923:J2923)</f>
        <v>0</v>
      </c>
      <c r="L2923" s="80"/>
      <c r="M2923" s="82"/>
    </row>
    <row r="2924" spans="1:12" s="82" customFormat="1" ht="9" customHeight="1">
      <c r="A2924" s="407"/>
      <c r="C2924" s="149"/>
      <c r="D2924" s="81"/>
      <c r="E2924" s="81"/>
      <c r="F2924" s="81"/>
      <c r="G2924" s="81"/>
      <c r="H2924" s="81"/>
      <c r="I2924" s="29"/>
      <c r="J2924" s="80"/>
      <c r="K2924" s="80"/>
      <c r="L2924" s="80"/>
    </row>
    <row r="2925" spans="1:12" s="82" customFormat="1" ht="11.25" customHeight="1">
      <c r="A2925" s="407"/>
      <c r="C2925" s="135" t="s">
        <v>114</v>
      </c>
      <c r="D2925" s="436" t="s">
        <v>303</v>
      </c>
      <c r="E2925" s="436"/>
      <c r="F2925" s="436"/>
      <c r="G2925" s="436"/>
      <c r="H2925" s="436"/>
      <c r="I2925" s="136"/>
      <c r="J2925" s="131"/>
      <c r="K2925" s="131"/>
      <c r="L2925" s="80"/>
    </row>
    <row r="2926" spans="1:12" s="82" customFormat="1" ht="12.75" customHeight="1">
      <c r="A2926" s="407"/>
      <c r="C2926" s="96"/>
      <c r="D2926" s="447" t="s">
        <v>37</v>
      </c>
      <c r="E2926" s="447"/>
      <c r="F2926" s="447"/>
      <c r="G2926" s="447"/>
      <c r="H2926" s="447"/>
      <c r="I2926" s="77">
        <f>SUM(I2927:I2929)</f>
        <v>420360</v>
      </c>
      <c r="J2926" s="77">
        <f>SUM(J2927:J2929)</f>
        <v>0</v>
      </c>
      <c r="K2926" s="77">
        <f>SUM(K2927:K2929)</f>
        <v>420360</v>
      </c>
      <c r="L2926" s="80"/>
    </row>
    <row r="2927" spans="1:12" s="82" customFormat="1" ht="13.5" customHeight="1" hidden="1">
      <c r="A2927" s="407"/>
      <c r="C2927" s="96"/>
      <c r="D2927" s="446" t="s">
        <v>5</v>
      </c>
      <c r="E2927" s="446"/>
      <c r="F2927" s="446"/>
      <c r="G2927" s="446"/>
      <c r="H2927" s="446"/>
      <c r="I2927" s="29"/>
      <c r="J2927" s="98"/>
      <c r="K2927" s="98">
        <f>SUM(I2927:J2927)</f>
        <v>0</v>
      </c>
      <c r="L2927" s="80"/>
    </row>
    <row r="2928" spans="1:12" s="82" customFormat="1" ht="13.5" customHeight="1" hidden="1">
      <c r="A2928" s="407"/>
      <c r="C2928" s="96"/>
      <c r="D2928" s="446" t="s">
        <v>6</v>
      </c>
      <c r="E2928" s="446"/>
      <c r="F2928" s="446"/>
      <c r="G2928" s="446"/>
      <c r="H2928" s="446"/>
      <c r="I2928" s="29"/>
      <c r="J2928" s="98"/>
      <c r="K2928" s="98">
        <f>SUM(I2928:J2928)</f>
        <v>0</v>
      </c>
      <c r="L2928" s="80"/>
    </row>
    <row r="2929" spans="1:12" s="82" customFormat="1" ht="11.25" customHeight="1">
      <c r="A2929" s="407"/>
      <c r="C2929" s="96"/>
      <c r="D2929" s="446" t="s">
        <v>7</v>
      </c>
      <c r="E2929" s="446"/>
      <c r="F2929" s="446"/>
      <c r="G2929" s="446"/>
      <c r="H2929" s="446"/>
      <c r="I2929" s="29">
        <v>420360</v>
      </c>
      <c r="J2929" s="98"/>
      <c r="K2929" s="98">
        <f>SUM(I2929:J2929)</f>
        <v>420360</v>
      </c>
      <c r="L2929" s="80"/>
    </row>
    <row r="2930" spans="1:12" s="82" customFormat="1" ht="12" customHeight="1">
      <c r="A2930" s="407"/>
      <c r="C2930" s="96"/>
      <c r="D2930" s="447" t="s">
        <v>38</v>
      </c>
      <c r="E2930" s="447"/>
      <c r="F2930" s="447"/>
      <c r="G2930" s="447"/>
      <c r="H2930" s="447"/>
      <c r="I2930" s="254">
        <f>SUM(I2931:I2936)</f>
        <v>420360</v>
      </c>
      <c r="J2930" s="254">
        <f>SUM(J2931:J2936)</f>
        <v>0</v>
      </c>
      <c r="K2930" s="254">
        <f>SUM(K2931:K2936)</f>
        <v>420360</v>
      </c>
      <c r="L2930" s="80"/>
    </row>
    <row r="2931" spans="1:12" s="82" customFormat="1" ht="13.5" customHeight="1" hidden="1">
      <c r="A2931" s="407"/>
      <c r="C2931" s="96"/>
      <c r="D2931" s="446" t="s">
        <v>289</v>
      </c>
      <c r="E2931" s="446"/>
      <c r="F2931" s="446"/>
      <c r="G2931" s="446"/>
      <c r="H2931" s="446"/>
      <c r="I2931" s="29"/>
      <c r="J2931" s="98"/>
      <c r="K2931" s="98">
        <f aca="true" t="shared" si="201" ref="K2931:K2936">SUM(I2931:J2931)</f>
        <v>0</v>
      </c>
      <c r="L2931" s="80"/>
    </row>
    <row r="2932" spans="1:12" s="82" customFormat="1" ht="13.5" customHeight="1" hidden="1">
      <c r="A2932" s="407"/>
      <c r="C2932" s="149"/>
      <c r="D2932" s="444" t="s">
        <v>8</v>
      </c>
      <c r="E2932" s="448"/>
      <c r="F2932" s="448"/>
      <c r="G2932" s="448"/>
      <c r="H2932" s="448"/>
      <c r="I2932" s="29"/>
      <c r="J2932" s="80"/>
      <c r="K2932" s="98">
        <f t="shared" si="201"/>
        <v>0</v>
      </c>
      <c r="L2932" s="80"/>
    </row>
    <row r="2933" spans="1:12" s="82" customFormat="1" ht="13.5" customHeight="1" hidden="1">
      <c r="A2933" s="407"/>
      <c r="C2933" s="149"/>
      <c r="D2933" s="444" t="s">
        <v>10</v>
      </c>
      <c r="E2933" s="444"/>
      <c r="F2933" s="444"/>
      <c r="G2933" s="444"/>
      <c r="H2933" s="444"/>
      <c r="I2933" s="29"/>
      <c r="J2933" s="80"/>
      <c r="K2933" s="98">
        <f t="shared" si="201"/>
        <v>0</v>
      </c>
      <c r="L2933" s="80"/>
    </row>
    <row r="2934" spans="1:12" s="82" customFormat="1" ht="13.5" customHeight="1" hidden="1">
      <c r="A2934" s="407"/>
      <c r="C2934" s="151"/>
      <c r="D2934" s="444" t="s">
        <v>9</v>
      </c>
      <c r="E2934" s="444"/>
      <c r="F2934" s="444"/>
      <c r="G2934" s="444"/>
      <c r="H2934" s="444"/>
      <c r="I2934" s="29"/>
      <c r="J2934" s="77"/>
      <c r="K2934" s="98">
        <f t="shared" si="201"/>
        <v>0</v>
      </c>
      <c r="L2934" s="80"/>
    </row>
    <row r="2935" spans="1:12" s="82" customFormat="1" ht="13.5" customHeight="1" hidden="1">
      <c r="A2935" s="407"/>
      <c r="C2935" s="149"/>
      <c r="D2935" s="444" t="s">
        <v>11</v>
      </c>
      <c r="E2935" s="444"/>
      <c r="F2935" s="444"/>
      <c r="G2935" s="444"/>
      <c r="H2935" s="444"/>
      <c r="I2935" s="29"/>
      <c r="J2935" s="80"/>
      <c r="K2935" s="98">
        <f t="shared" si="201"/>
        <v>0</v>
      </c>
      <c r="L2935" s="80"/>
    </row>
    <row r="2936" spans="1:12" s="82" customFormat="1" ht="9.75" customHeight="1">
      <c r="A2936" s="407"/>
      <c r="C2936" s="152"/>
      <c r="D2936" s="444" t="s">
        <v>12</v>
      </c>
      <c r="E2936" s="444"/>
      <c r="F2936" s="444"/>
      <c r="G2936" s="444"/>
      <c r="H2936" s="444"/>
      <c r="I2936" s="29">
        <v>420360</v>
      </c>
      <c r="J2936" s="80"/>
      <c r="K2936" s="98">
        <f t="shared" si="201"/>
        <v>420360</v>
      </c>
      <c r="L2936" s="80"/>
    </row>
    <row r="2937" spans="1:12" s="82" customFormat="1" ht="11.25" customHeight="1">
      <c r="A2937" s="407"/>
      <c r="C2937" s="152"/>
      <c r="D2937" s="445" t="s">
        <v>277</v>
      </c>
      <c r="E2937" s="445"/>
      <c r="F2937" s="445"/>
      <c r="G2937" s="445"/>
      <c r="H2937" s="445"/>
      <c r="I2937" s="77">
        <f>I2926-I2930</f>
        <v>0</v>
      </c>
      <c r="J2937" s="77">
        <f>J2926-J2930</f>
        <v>0</v>
      </c>
      <c r="K2937" s="77">
        <f>K2926-K2930</f>
        <v>0</v>
      </c>
      <c r="L2937" s="80"/>
    </row>
    <row r="2938" spans="1:12" s="82" customFormat="1" ht="11.25" customHeight="1">
      <c r="A2938" s="407"/>
      <c r="C2938" s="152"/>
      <c r="D2938" s="444" t="s">
        <v>279</v>
      </c>
      <c r="E2938" s="444"/>
      <c r="F2938" s="444"/>
      <c r="G2938" s="444"/>
      <c r="H2938" s="444"/>
      <c r="I2938" s="29">
        <f>I2939+I2940+I2941</f>
        <v>0</v>
      </c>
      <c r="J2938" s="29">
        <f>J2939+J2940+J2941</f>
        <v>0</v>
      </c>
      <c r="K2938" s="29">
        <f>K2939+K2940+K2941</f>
        <v>0</v>
      </c>
      <c r="L2938" s="80"/>
    </row>
    <row r="2939" spans="1:12" s="82" customFormat="1" ht="13.5" customHeight="1" hidden="1">
      <c r="A2939" s="407"/>
      <c r="C2939" s="152"/>
      <c r="D2939" s="444" t="s">
        <v>278</v>
      </c>
      <c r="E2939" s="444"/>
      <c r="F2939" s="444"/>
      <c r="G2939" s="444"/>
      <c r="H2939" s="444"/>
      <c r="I2939" s="29"/>
      <c r="J2939" s="77"/>
      <c r="K2939" s="80">
        <f>SUM(I2939:J2939)</f>
        <v>0</v>
      </c>
      <c r="L2939" s="80"/>
    </row>
    <row r="2940" spans="1:12" s="82" customFormat="1" ht="13.5" customHeight="1" hidden="1">
      <c r="A2940" s="407"/>
      <c r="C2940" s="152"/>
      <c r="D2940" s="444" t="s">
        <v>280</v>
      </c>
      <c r="E2940" s="444"/>
      <c r="F2940" s="444"/>
      <c r="G2940" s="444"/>
      <c r="H2940" s="444"/>
      <c r="I2940" s="29"/>
      <c r="J2940" s="77"/>
      <c r="K2940" s="80">
        <f>SUM(I2940:J2940)</f>
        <v>0</v>
      </c>
      <c r="L2940" s="80"/>
    </row>
    <row r="2941" spans="1:12" s="82" customFormat="1" ht="13.5" customHeight="1" hidden="1">
      <c r="A2941" s="407"/>
      <c r="C2941" s="152"/>
      <c r="D2941" s="444" t="s">
        <v>281</v>
      </c>
      <c r="E2941" s="444"/>
      <c r="F2941" s="444"/>
      <c r="G2941" s="444"/>
      <c r="H2941" s="444"/>
      <c r="I2941" s="29"/>
      <c r="J2941" s="77"/>
      <c r="K2941" s="80">
        <f>SUM(I2941:J2941)</f>
        <v>0</v>
      </c>
      <c r="L2941" s="80"/>
    </row>
    <row r="2942" spans="1:12" s="82" customFormat="1" ht="9.75" customHeight="1">
      <c r="A2942" s="407"/>
      <c r="C2942" s="149"/>
      <c r="D2942" s="81"/>
      <c r="E2942" s="81"/>
      <c r="F2942" s="81"/>
      <c r="G2942" s="81"/>
      <c r="H2942" s="81"/>
      <c r="I2942" s="29"/>
      <c r="J2942" s="80"/>
      <c r="K2942" s="80"/>
      <c r="L2942" s="80"/>
    </row>
    <row r="2943" spans="1:12" s="132" customFormat="1" ht="11.25" customHeight="1">
      <c r="A2943" s="411"/>
      <c r="C2943" s="135" t="s">
        <v>114</v>
      </c>
      <c r="D2943" s="436" t="s">
        <v>26</v>
      </c>
      <c r="E2943" s="436"/>
      <c r="F2943" s="436"/>
      <c r="G2943" s="436"/>
      <c r="H2943" s="436"/>
      <c r="I2943" s="136"/>
      <c r="J2943" s="131"/>
      <c r="K2943" s="131"/>
      <c r="L2943" s="131"/>
    </row>
    <row r="2944" spans="1:12" s="88" customFormat="1" ht="12.75" customHeight="1">
      <c r="A2944" s="411"/>
      <c r="C2944" s="96"/>
      <c r="D2944" s="447" t="s">
        <v>37</v>
      </c>
      <c r="E2944" s="447"/>
      <c r="F2944" s="447"/>
      <c r="G2944" s="447"/>
      <c r="H2944" s="447"/>
      <c r="I2944" s="77">
        <f>SUM(I2945:I2947)</f>
        <v>7500</v>
      </c>
      <c r="J2944" s="77">
        <f>SUM(J2945:J2947)</f>
        <v>0</v>
      </c>
      <c r="K2944" s="77">
        <f>SUM(K2945:K2947)</f>
        <v>7500</v>
      </c>
      <c r="L2944" s="98"/>
    </row>
    <row r="2945" spans="1:12" s="88" customFormat="1" ht="13.5" customHeight="1" hidden="1">
      <c r="A2945" s="411"/>
      <c r="C2945" s="96"/>
      <c r="D2945" s="446" t="s">
        <v>5</v>
      </c>
      <c r="E2945" s="446"/>
      <c r="F2945" s="446"/>
      <c r="G2945" s="446"/>
      <c r="H2945" s="446"/>
      <c r="I2945" s="29"/>
      <c r="J2945" s="98"/>
      <c r="K2945" s="98">
        <f>SUM(I2945:J2945)</f>
        <v>0</v>
      </c>
      <c r="L2945" s="98"/>
    </row>
    <row r="2946" spans="1:12" s="88" customFormat="1" ht="12" customHeight="1">
      <c r="A2946" s="411"/>
      <c r="C2946" s="96"/>
      <c r="D2946" s="446" t="s">
        <v>6</v>
      </c>
      <c r="E2946" s="446"/>
      <c r="F2946" s="446"/>
      <c r="G2946" s="446"/>
      <c r="H2946" s="446"/>
      <c r="I2946" s="29">
        <v>7500</v>
      </c>
      <c r="J2946" s="98"/>
      <c r="K2946" s="98">
        <f>SUM(I2946:J2946)</f>
        <v>7500</v>
      </c>
      <c r="L2946" s="98"/>
    </row>
    <row r="2947" spans="1:12" s="88" customFormat="1" ht="13.5" customHeight="1" hidden="1">
      <c r="A2947" s="411"/>
      <c r="C2947" s="96"/>
      <c r="D2947" s="446" t="s">
        <v>7</v>
      </c>
      <c r="E2947" s="446"/>
      <c r="F2947" s="446"/>
      <c r="G2947" s="446"/>
      <c r="H2947" s="446"/>
      <c r="I2947" s="29"/>
      <c r="J2947" s="98"/>
      <c r="K2947" s="98">
        <f>SUM(I2947:J2947)</f>
        <v>0</v>
      </c>
      <c r="L2947" s="98"/>
    </row>
    <row r="2948" spans="1:12" s="88" customFormat="1" ht="12" customHeight="1">
      <c r="A2948" s="411"/>
      <c r="C2948" s="96"/>
      <c r="D2948" s="447" t="s">
        <v>38</v>
      </c>
      <c r="E2948" s="447"/>
      <c r="F2948" s="447"/>
      <c r="G2948" s="447"/>
      <c r="H2948" s="447"/>
      <c r="I2948" s="254">
        <f>SUM(I2949:I2954)</f>
        <v>7900</v>
      </c>
      <c r="J2948" s="254">
        <f>SUM(J2949:J2954)</f>
        <v>0</v>
      </c>
      <c r="K2948" s="254">
        <f>SUM(K2949:K2954)</f>
        <v>7900</v>
      </c>
      <c r="L2948" s="98"/>
    </row>
    <row r="2949" spans="1:12" s="88" customFormat="1" ht="11.25" customHeight="1">
      <c r="A2949" s="411"/>
      <c r="C2949" s="96"/>
      <c r="D2949" s="446" t="s">
        <v>289</v>
      </c>
      <c r="E2949" s="446"/>
      <c r="F2949" s="446"/>
      <c r="G2949" s="446"/>
      <c r="H2949" s="446"/>
      <c r="I2949" s="29">
        <v>2800</v>
      </c>
      <c r="J2949" s="98"/>
      <c r="K2949" s="98">
        <f aca="true" t="shared" si="202" ref="K2949:K2954">SUM(I2949:J2949)</f>
        <v>2800</v>
      </c>
      <c r="L2949" s="98"/>
    </row>
    <row r="2950" spans="1:12" s="82" customFormat="1" ht="12.75" customHeight="1">
      <c r="A2950" s="407"/>
      <c r="C2950" s="149"/>
      <c r="D2950" s="444" t="s">
        <v>8</v>
      </c>
      <c r="E2950" s="448"/>
      <c r="F2950" s="448"/>
      <c r="G2950" s="448"/>
      <c r="H2950" s="448"/>
      <c r="I2950" s="29">
        <v>5100</v>
      </c>
      <c r="J2950" s="80"/>
      <c r="K2950" s="98">
        <f t="shared" si="202"/>
        <v>5100</v>
      </c>
      <c r="L2950" s="80"/>
    </row>
    <row r="2951" spans="1:12" s="82" customFormat="1" ht="13.5" customHeight="1" hidden="1">
      <c r="A2951" s="407"/>
      <c r="C2951" s="149"/>
      <c r="D2951" s="444" t="s">
        <v>10</v>
      </c>
      <c r="E2951" s="444"/>
      <c r="F2951" s="444"/>
      <c r="G2951" s="444"/>
      <c r="H2951" s="444"/>
      <c r="I2951" s="29"/>
      <c r="J2951" s="80"/>
      <c r="K2951" s="98">
        <f t="shared" si="202"/>
        <v>0</v>
      </c>
      <c r="L2951" s="80"/>
    </row>
    <row r="2952" spans="1:13" s="79" customFormat="1" ht="13.5" customHeight="1" hidden="1">
      <c r="A2952" s="407"/>
      <c r="C2952" s="151"/>
      <c r="D2952" s="444" t="s">
        <v>9</v>
      </c>
      <c r="E2952" s="444"/>
      <c r="F2952" s="444"/>
      <c r="G2952" s="444"/>
      <c r="H2952" s="444"/>
      <c r="I2952" s="29"/>
      <c r="J2952" s="77"/>
      <c r="K2952" s="98">
        <f t="shared" si="202"/>
        <v>0</v>
      </c>
      <c r="L2952" s="80"/>
      <c r="M2952" s="82"/>
    </row>
    <row r="2953" spans="1:12" s="82" customFormat="1" ht="13.5" customHeight="1" hidden="1">
      <c r="A2953" s="407"/>
      <c r="C2953" s="149"/>
      <c r="D2953" s="444" t="s">
        <v>11</v>
      </c>
      <c r="E2953" s="444"/>
      <c r="F2953" s="444"/>
      <c r="G2953" s="444"/>
      <c r="H2953" s="444"/>
      <c r="I2953" s="29"/>
      <c r="J2953" s="80"/>
      <c r="K2953" s="98">
        <f t="shared" si="202"/>
        <v>0</v>
      </c>
      <c r="L2953" s="80"/>
    </row>
    <row r="2954" spans="1:12" s="33" customFormat="1" ht="13.5" customHeight="1" hidden="1">
      <c r="A2954" s="410"/>
      <c r="C2954" s="152"/>
      <c r="D2954" s="444" t="s">
        <v>12</v>
      </c>
      <c r="E2954" s="444"/>
      <c r="F2954" s="444"/>
      <c r="G2954" s="444"/>
      <c r="H2954" s="444"/>
      <c r="I2954" s="29"/>
      <c r="J2954" s="80"/>
      <c r="K2954" s="98">
        <f t="shared" si="202"/>
        <v>0</v>
      </c>
      <c r="L2954" s="175"/>
    </row>
    <row r="2955" spans="1:12" s="33" customFormat="1" ht="12" customHeight="1">
      <c r="A2955" s="410"/>
      <c r="C2955" s="152"/>
      <c r="D2955" s="445" t="s">
        <v>277</v>
      </c>
      <c r="E2955" s="445"/>
      <c r="F2955" s="445"/>
      <c r="G2955" s="445"/>
      <c r="H2955" s="445"/>
      <c r="I2955" s="77">
        <f>I2944-I2948</f>
        <v>-400</v>
      </c>
      <c r="J2955" s="77">
        <f>J2944-J2948</f>
        <v>0</v>
      </c>
      <c r="K2955" s="77">
        <f>K2944-K2948</f>
        <v>-400</v>
      </c>
      <c r="L2955" s="175"/>
    </row>
    <row r="2956" spans="1:12" s="33" customFormat="1" ht="12" customHeight="1">
      <c r="A2956" s="410"/>
      <c r="C2956" s="152"/>
      <c r="D2956" s="444" t="s">
        <v>279</v>
      </c>
      <c r="E2956" s="444"/>
      <c r="F2956" s="444"/>
      <c r="G2956" s="444"/>
      <c r="H2956" s="444"/>
      <c r="I2956" s="29">
        <f>I2957+I2958+I2959</f>
        <v>400</v>
      </c>
      <c r="J2956" s="29">
        <f>J2957+J2958+J2959</f>
        <v>0</v>
      </c>
      <c r="K2956" s="29">
        <f>K2957+K2958+K2959</f>
        <v>400</v>
      </c>
      <c r="L2956" s="175"/>
    </row>
    <row r="2957" spans="1:12" s="33" customFormat="1" ht="11.25" customHeight="1">
      <c r="A2957" s="410"/>
      <c r="C2957" s="152"/>
      <c r="D2957" s="444" t="s">
        <v>278</v>
      </c>
      <c r="E2957" s="444"/>
      <c r="F2957" s="444"/>
      <c r="G2957" s="444"/>
      <c r="H2957" s="444"/>
      <c r="I2957" s="29">
        <v>400</v>
      </c>
      <c r="J2957" s="77"/>
      <c r="K2957" s="80">
        <f>SUM(I2957:J2957)</f>
        <v>400</v>
      </c>
      <c r="L2957" s="175"/>
    </row>
    <row r="2958" spans="1:12" s="33" customFormat="1" ht="13.5" customHeight="1" hidden="1">
      <c r="A2958" s="410"/>
      <c r="C2958" s="152"/>
      <c r="D2958" s="444" t="s">
        <v>280</v>
      </c>
      <c r="E2958" s="444"/>
      <c r="F2958" s="444"/>
      <c r="G2958" s="444"/>
      <c r="H2958" s="444"/>
      <c r="I2958" s="29"/>
      <c r="J2958" s="77"/>
      <c r="K2958" s="80">
        <f>SUM(I2958:J2958)</f>
        <v>0</v>
      </c>
      <c r="L2958" s="175"/>
    </row>
    <row r="2959" spans="1:12" s="33" customFormat="1" ht="13.5" customHeight="1" hidden="1">
      <c r="A2959" s="410"/>
      <c r="C2959" s="152"/>
      <c r="D2959" s="444" t="s">
        <v>281</v>
      </c>
      <c r="E2959" s="444"/>
      <c r="F2959" s="444"/>
      <c r="G2959" s="444"/>
      <c r="H2959" s="444"/>
      <c r="I2959" s="29"/>
      <c r="J2959" s="77"/>
      <c r="K2959" s="80">
        <f>SUM(I2959:J2959)</f>
        <v>0</v>
      </c>
      <c r="L2959" s="175"/>
    </row>
    <row r="2960" spans="1:12" s="33" customFormat="1" ht="7.5" customHeight="1">
      <c r="A2960" s="410"/>
      <c r="C2960" s="152"/>
      <c r="D2960" s="446"/>
      <c r="E2960" s="446"/>
      <c r="F2960" s="446"/>
      <c r="G2960" s="446"/>
      <c r="H2960" s="446"/>
      <c r="I2960" s="29"/>
      <c r="J2960" s="80"/>
      <c r="K2960" s="80"/>
      <c r="L2960" s="175"/>
    </row>
    <row r="2961" spans="1:12" s="95" customFormat="1" ht="12.75" customHeight="1">
      <c r="A2961" s="407"/>
      <c r="C2961" s="153" t="s">
        <v>113</v>
      </c>
      <c r="D2961" s="449" t="s">
        <v>272</v>
      </c>
      <c r="E2961" s="449"/>
      <c r="F2961" s="449"/>
      <c r="G2961" s="449"/>
      <c r="H2961" s="449"/>
      <c r="I2961" s="129"/>
      <c r="J2961" s="127"/>
      <c r="K2961" s="127"/>
      <c r="L2961" s="127"/>
    </row>
    <row r="2962" spans="1:12" s="82" customFormat="1" ht="12" customHeight="1">
      <c r="A2962" s="407"/>
      <c r="C2962" s="149"/>
      <c r="D2962" s="447" t="s">
        <v>37</v>
      </c>
      <c r="E2962" s="447"/>
      <c r="F2962" s="447"/>
      <c r="G2962" s="447"/>
      <c r="H2962" s="447"/>
      <c r="I2962" s="77">
        <f>SUM(I2963:I2965)</f>
        <v>385566</v>
      </c>
      <c r="J2962" s="77">
        <f>SUM(J2963:J2965)</f>
        <v>31013</v>
      </c>
      <c r="K2962" s="77">
        <f>SUM(K2963:K2965)</f>
        <v>416579</v>
      </c>
      <c r="L2962" s="80"/>
    </row>
    <row r="2963" spans="1:12" s="82" customFormat="1" ht="13.5" customHeight="1">
      <c r="A2963" s="407"/>
      <c r="C2963" s="149"/>
      <c r="D2963" s="446" t="s">
        <v>5</v>
      </c>
      <c r="E2963" s="446"/>
      <c r="F2963" s="446"/>
      <c r="G2963" s="446"/>
      <c r="H2963" s="446"/>
      <c r="I2963" s="29">
        <v>378126</v>
      </c>
      <c r="J2963" s="80">
        <f>27300+3713</f>
        <v>31013</v>
      </c>
      <c r="K2963" s="80">
        <f>SUM(I2963:J2963)</f>
        <v>409139</v>
      </c>
      <c r="L2963" s="80"/>
    </row>
    <row r="2964" spans="1:12" s="82" customFormat="1" ht="12.75" customHeight="1">
      <c r="A2964" s="407"/>
      <c r="C2964" s="149"/>
      <c r="D2964" s="446" t="s">
        <v>6</v>
      </c>
      <c r="E2964" s="446"/>
      <c r="F2964" s="446"/>
      <c r="G2964" s="446"/>
      <c r="H2964" s="446"/>
      <c r="I2964" s="29">
        <v>7440</v>
      </c>
      <c r="J2964" s="80"/>
      <c r="K2964" s="80">
        <f>SUM(I2964:J2964)</f>
        <v>7440</v>
      </c>
      <c r="L2964" s="80"/>
    </row>
    <row r="2965" spans="1:12" s="82" customFormat="1" ht="13.5" customHeight="1" hidden="1">
      <c r="A2965" s="407"/>
      <c r="C2965" s="149"/>
      <c r="D2965" s="446" t="s">
        <v>7</v>
      </c>
      <c r="E2965" s="446"/>
      <c r="F2965" s="446"/>
      <c r="G2965" s="446"/>
      <c r="H2965" s="446"/>
      <c r="I2965" s="29"/>
      <c r="J2965" s="80"/>
      <c r="K2965" s="80">
        <f>SUM(I2965:J2965)</f>
        <v>0</v>
      </c>
      <c r="L2965" s="80"/>
    </row>
    <row r="2966" spans="1:12" s="82" customFormat="1" ht="12" customHeight="1">
      <c r="A2966" s="407"/>
      <c r="C2966" s="149"/>
      <c r="D2966" s="447" t="s">
        <v>38</v>
      </c>
      <c r="E2966" s="447"/>
      <c r="F2966" s="447"/>
      <c r="G2966" s="447"/>
      <c r="H2966" s="447"/>
      <c r="I2966" s="254">
        <f>SUM(I2967:I2972)</f>
        <v>406632</v>
      </c>
      <c r="J2966" s="254">
        <f>SUM(J2967:J2972)</f>
        <v>31013</v>
      </c>
      <c r="K2966" s="254">
        <f>SUM(K2967:K2972)</f>
        <v>437645</v>
      </c>
      <c r="L2966" s="80"/>
    </row>
    <row r="2967" spans="1:12" s="82" customFormat="1" ht="12.75" customHeight="1">
      <c r="A2967" s="407"/>
      <c r="C2967" s="149"/>
      <c r="D2967" s="446" t="s">
        <v>289</v>
      </c>
      <c r="E2967" s="446"/>
      <c r="F2967" s="446"/>
      <c r="G2967" s="446"/>
      <c r="H2967" s="446"/>
      <c r="I2967" s="29">
        <v>300942</v>
      </c>
      <c r="J2967" s="80">
        <f>27300+3713</f>
        <v>31013</v>
      </c>
      <c r="K2967" s="80">
        <f aca="true" t="shared" si="203" ref="K2967:K2972">SUM(I2967:J2967)</f>
        <v>331955</v>
      </c>
      <c r="L2967" s="80"/>
    </row>
    <row r="2968" spans="1:13" s="79" customFormat="1" ht="12.75" customHeight="1">
      <c r="A2968" s="407"/>
      <c r="C2968" s="151"/>
      <c r="D2968" s="444" t="s">
        <v>8</v>
      </c>
      <c r="E2968" s="448"/>
      <c r="F2968" s="448"/>
      <c r="G2968" s="448"/>
      <c r="H2968" s="448"/>
      <c r="I2968" s="29">
        <f>70132+13993</f>
        <v>84125</v>
      </c>
      <c r="J2968" s="29"/>
      <c r="K2968" s="80">
        <f t="shared" si="203"/>
        <v>84125</v>
      </c>
      <c r="L2968" s="80"/>
      <c r="M2968" s="82"/>
    </row>
    <row r="2969" spans="1:12" s="82" customFormat="1" ht="13.5" customHeight="1" hidden="1">
      <c r="A2969" s="407"/>
      <c r="C2969" s="149"/>
      <c r="D2969" s="444" t="s">
        <v>10</v>
      </c>
      <c r="E2969" s="444"/>
      <c r="F2969" s="444"/>
      <c r="G2969" s="444"/>
      <c r="H2969" s="444"/>
      <c r="I2969" s="29"/>
      <c r="J2969" s="80"/>
      <c r="K2969" s="80">
        <f t="shared" si="203"/>
        <v>0</v>
      </c>
      <c r="L2969" s="80"/>
    </row>
    <row r="2970" spans="1:12" s="82" customFormat="1" ht="12.75" customHeight="1">
      <c r="A2970" s="407"/>
      <c r="C2970" s="149"/>
      <c r="D2970" s="444" t="s">
        <v>9</v>
      </c>
      <c r="E2970" s="444"/>
      <c r="F2970" s="444"/>
      <c r="G2970" s="444"/>
      <c r="H2970" s="444"/>
      <c r="I2970" s="29">
        <v>607</v>
      </c>
      <c r="J2970" s="80"/>
      <c r="K2970" s="80">
        <f t="shared" si="203"/>
        <v>607</v>
      </c>
      <c r="L2970" s="80"/>
    </row>
    <row r="2971" spans="1:13" s="79" customFormat="1" ht="12.75" customHeight="1">
      <c r="A2971" s="407"/>
      <c r="C2971" s="151"/>
      <c r="D2971" s="444" t="s">
        <v>11</v>
      </c>
      <c r="E2971" s="444"/>
      <c r="F2971" s="444"/>
      <c r="G2971" s="444"/>
      <c r="H2971" s="444"/>
      <c r="I2971" s="29">
        <v>20958</v>
      </c>
      <c r="J2971" s="29"/>
      <c r="K2971" s="80">
        <f t="shared" si="203"/>
        <v>20958</v>
      </c>
      <c r="L2971" s="80"/>
      <c r="M2971" s="82"/>
    </row>
    <row r="2972" spans="1:12" s="82" customFormat="1" ht="13.5" customHeight="1" hidden="1">
      <c r="A2972" s="407"/>
      <c r="C2972" s="149"/>
      <c r="D2972" s="444" t="s">
        <v>12</v>
      </c>
      <c r="E2972" s="444"/>
      <c r="F2972" s="444"/>
      <c r="G2972" s="444"/>
      <c r="H2972" s="444"/>
      <c r="I2972" s="29"/>
      <c r="J2972" s="80"/>
      <c r="K2972" s="80">
        <f t="shared" si="203"/>
        <v>0</v>
      </c>
      <c r="L2972" s="80"/>
    </row>
    <row r="2973" spans="1:12" s="82" customFormat="1" ht="13.5" customHeight="1">
      <c r="A2973" s="407"/>
      <c r="C2973" s="149"/>
      <c r="D2973" s="445" t="s">
        <v>277</v>
      </c>
      <c r="E2973" s="445"/>
      <c r="F2973" s="445"/>
      <c r="G2973" s="445"/>
      <c r="H2973" s="445"/>
      <c r="I2973" s="77">
        <f>I2962-I2966</f>
        <v>-21066</v>
      </c>
      <c r="J2973" s="77">
        <f>J2962-J2966</f>
        <v>0</v>
      </c>
      <c r="K2973" s="77">
        <f>K2962-K2966</f>
        <v>-21066</v>
      </c>
      <c r="L2973" s="80"/>
    </row>
    <row r="2974" spans="1:12" s="82" customFormat="1" ht="11.25" customHeight="1">
      <c r="A2974" s="407"/>
      <c r="C2974" s="149"/>
      <c r="D2974" s="444" t="s">
        <v>279</v>
      </c>
      <c r="E2974" s="444"/>
      <c r="F2974" s="444"/>
      <c r="G2974" s="444"/>
      <c r="H2974" s="444"/>
      <c r="I2974" s="29">
        <f>I2975+I2976+I2977</f>
        <v>21066</v>
      </c>
      <c r="J2974" s="29">
        <f>J2975+J2976+J2977</f>
        <v>0</v>
      </c>
      <c r="K2974" s="29">
        <f>K2975+K2976+K2977</f>
        <v>21066</v>
      </c>
      <c r="L2974" s="80"/>
    </row>
    <row r="2975" spans="1:12" s="82" customFormat="1" ht="11.25" customHeight="1">
      <c r="A2975" s="407"/>
      <c r="C2975" s="149"/>
      <c r="D2975" s="444" t="s">
        <v>278</v>
      </c>
      <c r="E2975" s="444"/>
      <c r="F2975" s="444"/>
      <c r="G2975" s="444"/>
      <c r="H2975" s="444"/>
      <c r="I2975" s="29">
        <v>27511</v>
      </c>
      <c r="J2975" s="77"/>
      <c r="K2975" s="80">
        <f>SUM(I2975:J2975)</f>
        <v>27511</v>
      </c>
      <c r="L2975" s="80"/>
    </row>
    <row r="2976" spans="1:12" s="82" customFormat="1" ht="13.5" customHeight="1" hidden="1">
      <c r="A2976" s="407"/>
      <c r="C2976" s="149"/>
      <c r="D2976" s="444" t="s">
        <v>280</v>
      </c>
      <c r="E2976" s="444"/>
      <c r="F2976" s="444"/>
      <c r="G2976" s="444"/>
      <c r="H2976" s="444"/>
      <c r="I2976" s="29"/>
      <c r="J2976" s="77"/>
      <c r="K2976" s="80">
        <f>SUM(I2976:J2976)</f>
        <v>0</v>
      </c>
      <c r="L2976" s="80"/>
    </row>
    <row r="2977" spans="1:12" s="82" customFormat="1" ht="12" customHeight="1">
      <c r="A2977" s="407"/>
      <c r="C2977" s="149"/>
      <c r="D2977" s="444" t="s">
        <v>281</v>
      </c>
      <c r="E2977" s="444"/>
      <c r="F2977" s="444"/>
      <c r="G2977" s="444"/>
      <c r="H2977" s="444"/>
      <c r="I2977" s="29">
        <v>-6445</v>
      </c>
      <c r="J2977" s="77"/>
      <c r="K2977" s="80">
        <f>SUM(I2977:J2977)</f>
        <v>-6445</v>
      </c>
      <c r="L2977" s="80"/>
    </row>
    <row r="2978" spans="1:12" s="82" customFormat="1" ht="9" customHeight="1" hidden="1">
      <c r="A2978" s="407"/>
      <c r="C2978" s="149"/>
      <c r="D2978" s="85"/>
      <c r="E2978" s="85"/>
      <c r="F2978" s="85"/>
      <c r="G2978" s="85"/>
      <c r="H2978" s="85"/>
      <c r="I2978" s="29"/>
      <c r="J2978" s="80"/>
      <c r="K2978" s="29"/>
      <c r="L2978" s="80"/>
    </row>
    <row r="2979" spans="1:12" s="95" customFormat="1" ht="13.5" customHeight="1" hidden="1">
      <c r="A2979" s="407"/>
      <c r="C2979" s="153" t="s">
        <v>113</v>
      </c>
      <c r="D2979" s="436" t="s">
        <v>205</v>
      </c>
      <c r="E2979" s="436"/>
      <c r="F2979" s="436"/>
      <c r="G2979" s="436"/>
      <c r="H2979" s="436"/>
      <c r="I2979" s="129"/>
      <c r="J2979" s="127"/>
      <c r="K2979" s="127"/>
      <c r="L2979" s="127"/>
    </row>
    <row r="2980" spans="1:12" s="82" customFormat="1" ht="13.5" customHeight="1" hidden="1">
      <c r="A2980" s="407"/>
      <c r="C2980" s="149"/>
      <c r="D2980" s="447" t="s">
        <v>37</v>
      </c>
      <c r="E2980" s="447"/>
      <c r="F2980" s="447"/>
      <c r="G2980" s="447"/>
      <c r="H2980" s="447"/>
      <c r="I2980" s="77">
        <f>SUM(I2981:I2983)</f>
        <v>0</v>
      </c>
      <c r="J2980" s="77">
        <f>SUM(J2981:J2983)</f>
        <v>0</v>
      </c>
      <c r="K2980" s="77">
        <f>SUM(K2981:K2983)</f>
        <v>0</v>
      </c>
      <c r="L2980" s="80"/>
    </row>
    <row r="2981" spans="1:12" s="82" customFormat="1" ht="13.5" customHeight="1" hidden="1">
      <c r="A2981" s="407"/>
      <c r="C2981" s="149"/>
      <c r="D2981" s="446" t="s">
        <v>5</v>
      </c>
      <c r="E2981" s="446"/>
      <c r="F2981" s="446"/>
      <c r="G2981" s="446"/>
      <c r="H2981" s="446"/>
      <c r="I2981" s="29"/>
      <c r="J2981" s="80"/>
      <c r="K2981" s="80">
        <f>SUM(I2981:J2981)</f>
        <v>0</v>
      </c>
      <c r="L2981" s="80"/>
    </row>
    <row r="2982" spans="1:12" s="82" customFormat="1" ht="13.5" customHeight="1" hidden="1">
      <c r="A2982" s="407"/>
      <c r="C2982" s="149"/>
      <c r="D2982" s="446" t="s">
        <v>6</v>
      </c>
      <c r="E2982" s="446"/>
      <c r="F2982" s="446"/>
      <c r="G2982" s="446"/>
      <c r="H2982" s="446"/>
      <c r="I2982" s="29"/>
      <c r="J2982" s="80"/>
      <c r="K2982" s="80">
        <f>SUM(I2982:J2982)</f>
        <v>0</v>
      </c>
      <c r="L2982" s="80"/>
    </row>
    <row r="2983" spans="1:12" s="82" customFormat="1" ht="13.5" customHeight="1" hidden="1">
      <c r="A2983" s="407"/>
      <c r="C2983" s="149"/>
      <c r="D2983" s="446" t="s">
        <v>7</v>
      </c>
      <c r="E2983" s="446"/>
      <c r="F2983" s="446"/>
      <c r="G2983" s="446"/>
      <c r="H2983" s="446"/>
      <c r="I2983" s="29"/>
      <c r="J2983" s="80"/>
      <c r="K2983" s="80">
        <f>SUM(I2983:J2983)</f>
        <v>0</v>
      </c>
      <c r="L2983" s="80"/>
    </row>
    <row r="2984" spans="1:12" s="82" customFormat="1" ht="13.5" customHeight="1" hidden="1">
      <c r="A2984" s="407"/>
      <c r="C2984" s="149"/>
      <c r="D2984" s="447" t="s">
        <v>38</v>
      </c>
      <c r="E2984" s="447"/>
      <c r="F2984" s="447"/>
      <c r="G2984" s="447"/>
      <c r="H2984" s="447"/>
      <c r="I2984" s="254">
        <f>SUM(I2985:I2990)</f>
        <v>0</v>
      </c>
      <c r="J2984" s="254">
        <f>SUM(J2985:J2990)</f>
        <v>0</v>
      </c>
      <c r="K2984" s="254">
        <f>SUM(K2985:K2990)</f>
        <v>0</v>
      </c>
      <c r="L2984" s="80"/>
    </row>
    <row r="2985" spans="1:12" s="82" customFormat="1" ht="13.5" customHeight="1" hidden="1">
      <c r="A2985" s="407"/>
      <c r="C2985" s="149"/>
      <c r="D2985" s="446" t="s">
        <v>289</v>
      </c>
      <c r="E2985" s="446"/>
      <c r="F2985" s="446"/>
      <c r="G2985" s="446"/>
      <c r="H2985" s="446"/>
      <c r="I2985" s="29"/>
      <c r="J2985" s="80"/>
      <c r="K2985" s="80">
        <f aca="true" t="shared" si="204" ref="K2985:K2990">SUM(I2985:J2985)</f>
        <v>0</v>
      </c>
      <c r="L2985" s="80"/>
    </row>
    <row r="2986" spans="1:12" s="82" customFormat="1" ht="13.5" customHeight="1" hidden="1">
      <c r="A2986" s="407"/>
      <c r="C2986" s="149"/>
      <c r="D2986" s="444" t="s">
        <v>8</v>
      </c>
      <c r="E2986" s="448"/>
      <c r="F2986" s="448"/>
      <c r="G2986" s="448"/>
      <c r="H2986" s="448"/>
      <c r="I2986" s="29"/>
      <c r="J2986" s="80"/>
      <c r="K2986" s="80">
        <f t="shared" si="204"/>
        <v>0</v>
      </c>
      <c r="L2986" s="80"/>
    </row>
    <row r="2987" spans="1:12" s="82" customFormat="1" ht="13.5" customHeight="1" hidden="1">
      <c r="A2987" s="407"/>
      <c r="C2987" s="149"/>
      <c r="D2987" s="444" t="s">
        <v>10</v>
      </c>
      <c r="E2987" s="444"/>
      <c r="F2987" s="444"/>
      <c r="G2987" s="444"/>
      <c r="H2987" s="444"/>
      <c r="I2987" s="29"/>
      <c r="J2987" s="80"/>
      <c r="K2987" s="80">
        <f t="shared" si="204"/>
        <v>0</v>
      </c>
      <c r="L2987" s="80"/>
    </row>
    <row r="2988" spans="1:12" s="82" customFormat="1" ht="13.5" customHeight="1" hidden="1">
      <c r="A2988" s="407"/>
      <c r="C2988" s="151"/>
      <c r="D2988" s="444" t="s">
        <v>9</v>
      </c>
      <c r="E2988" s="444"/>
      <c r="F2988" s="444"/>
      <c r="G2988" s="444"/>
      <c r="H2988" s="444"/>
      <c r="I2988" s="29"/>
      <c r="J2988" s="77"/>
      <c r="K2988" s="80">
        <f t="shared" si="204"/>
        <v>0</v>
      </c>
      <c r="L2988" s="80"/>
    </row>
    <row r="2989" spans="1:12" s="82" customFormat="1" ht="13.5" customHeight="1" hidden="1">
      <c r="A2989" s="407"/>
      <c r="C2989" s="149"/>
      <c r="D2989" s="444" t="s">
        <v>11</v>
      </c>
      <c r="E2989" s="444"/>
      <c r="F2989" s="444"/>
      <c r="G2989" s="444"/>
      <c r="H2989" s="444"/>
      <c r="I2989" s="29"/>
      <c r="J2989" s="80"/>
      <c r="K2989" s="80">
        <f t="shared" si="204"/>
        <v>0</v>
      </c>
      <c r="L2989" s="80"/>
    </row>
    <row r="2990" spans="1:12" s="82" customFormat="1" ht="13.5" customHeight="1" hidden="1">
      <c r="A2990" s="407"/>
      <c r="C2990" s="151"/>
      <c r="D2990" s="444" t="s">
        <v>12</v>
      </c>
      <c r="E2990" s="444"/>
      <c r="F2990" s="444"/>
      <c r="G2990" s="444"/>
      <c r="H2990" s="444"/>
      <c r="I2990" s="29"/>
      <c r="J2990" s="77"/>
      <c r="K2990" s="80">
        <f t="shared" si="204"/>
        <v>0</v>
      </c>
      <c r="L2990" s="80"/>
    </row>
    <row r="2991" spans="1:12" s="82" customFormat="1" ht="13.5" customHeight="1" hidden="1">
      <c r="A2991" s="407"/>
      <c r="C2991" s="151"/>
      <c r="D2991" s="445" t="s">
        <v>277</v>
      </c>
      <c r="E2991" s="445"/>
      <c r="F2991" s="445"/>
      <c r="G2991" s="445"/>
      <c r="H2991" s="445"/>
      <c r="I2991" s="77">
        <f>I2980-I2984</f>
        <v>0</v>
      </c>
      <c r="J2991" s="77">
        <f>J2980-J2984</f>
        <v>0</v>
      </c>
      <c r="K2991" s="77">
        <f>K2980-K2984</f>
        <v>0</v>
      </c>
      <c r="L2991" s="80"/>
    </row>
    <row r="2992" spans="1:12" s="82" customFormat="1" ht="13.5" customHeight="1" hidden="1">
      <c r="A2992" s="407"/>
      <c r="C2992" s="151"/>
      <c r="D2992" s="444" t="s">
        <v>279</v>
      </c>
      <c r="E2992" s="444"/>
      <c r="F2992" s="444"/>
      <c r="G2992" s="444"/>
      <c r="H2992" s="444"/>
      <c r="I2992" s="29">
        <f>I2993+I2994+I2995</f>
        <v>0</v>
      </c>
      <c r="J2992" s="29">
        <f>J2993+J2994+J2995</f>
        <v>0</v>
      </c>
      <c r="K2992" s="29">
        <f>K2993+K2994+K2995</f>
        <v>0</v>
      </c>
      <c r="L2992" s="80"/>
    </row>
    <row r="2993" spans="1:12" s="82" customFormat="1" ht="13.5" customHeight="1" hidden="1">
      <c r="A2993" s="407"/>
      <c r="C2993" s="151"/>
      <c r="D2993" s="444" t="s">
        <v>278</v>
      </c>
      <c r="E2993" s="444"/>
      <c r="F2993" s="444"/>
      <c r="G2993" s="444"/>
      <c r="H2993" s="444"/>
      <c r="I2993" s="29"/>
      <c r="J2993" s="77"/>
      <c r="K2993" s="80">
        <f>SUM(I2993:J2993)</f>
        <v>0</v>
      </c>
      <c r="L2993" s="80"/>
    </row>
    <row r="2994" spans="1:12" s="82" customFormat="1" ht="13.5" customHeight="1" hidden="1">
      <c r="A2994" s="407"/>
      <c r="C2994" s="151"/>
      <c r="D2994" s="444" t="s">
        <v>280</v>
      </c>
      <c r="E2994" s="444"/>
      <c r="F2994" s="444"/>
      <c r="G2994" s="444"/>
      <c r="H2994" s="444"/>
      <c r="I2994" s="29"/>
      <c r="J2994" s="77"/>
      <c r="K2994" s="80">
        <f>SUM(I2994:J2994)</f>
        <v>0</v>
      </c>
      <c r="L2994" s="80"/>
    </row>
    <row r="2995" spans="1:12" s="82" customFormat="1" ht="13.5" customHeight="1" hidden="1">
      <c r="A2995" s="407"/>
      <c r="C2995" s="151"/>
      <c r="D2995" s="444" t="s">
        <v>281</v>
      </c>
      <c r="E2995" s="444"/>
      <c r="F2995" s="444"/>
      <c r="G2995" s="444"/>
      <c r="H2995" s="444"/>
      <c r="I2995" s="29"/>
      <c r="J2995" s="77"/>
      <c r="K2995" s="80">
        <f>SUM(I2995:J2995)</f>
        <v>0</v>
      </c>
      <c r="L2995" s="80"/>
    </row>
    <row r="2996" spans="1:12" s="82" customFormat="1" ht="4.5" customHeight="1">
      <c r="A2996" s="407"/>
      <c r="C2996" s="151"/>
      <c r="D2996" s="85"/>
      <c r="E2996" s="85"/>
      <c r="F2996" s="85"/>
      <c r="G2996" s="85"/>
      <c r="H2996" s="85"/>
      <c r="I2996" s="29"/>
      <c r="J2996" s="77"/>
      <c r="K2996" s="80"/>
      <c r="L2996" s="80"/>
    </row>
    <row r="2997" spans="1:12" s="82" customFormat="1" ht="8.25" customHeight="1">
      <c r="A2997" s="407"/>
      <c r="C2997" s="151"/>
      <c r="D2997" s="85"/>
      <c r="E2997" s="85"/>
      <c r="F2997" s="85"/>
      <c r="G2997" s="85"/>
      <c r="H2997" s="85"/>
      <c r="I2997" s="29"/>
      <c r="J2997" s="77"/>
      <c r="K2997" s="77"/>
      <c r="L2997" s="80"/>
    </row>
    <row r="2998" spans="1:13" s="15" customFormat="1" ht="13.5" customHeight="1">
      <c r="A2998" s="407"/>
      <c r="C2998" s="142" t="s">
        <v>115</v>
      </c>
      <c r="D2998" s="450" t="s">
        <v>54</v>
      </c>
      <c r="E2998" s="450"/>
      <c r="F2998" s="450"/>
      <c r="G2998" s="450"/>
      <c r="H2998" s="450"/>
      <c r="I2998" s="17"/>
      <c r="J2998" s="126"/>
      <c r="K2998" s="126"/>
      <c r="L2998" s="127"/>
      <c r="M2998" s="95"/>
    </row>
    <row r="2999" spans="1:13" s="15" customFormat="1" ht="13.5" customHeight="1">
      <c r="A2999" s="407"/>
      <c r="C2999" s="154"/>
      <c r="D2999" s="447" t="s">
        <v>37</v>
      </c>
      <c r="E2999" s="447"/>
      <c r="F2999" s="447"/>
      <c r="G2999" s="447"/>
      <c r="H2999" s="447"/>
      <c r="I2999" s="77">
        <f>SUM(I3000:I3002)</f>
        <v>731669</v>
      </c>
      <c r="J2999" s="77">
        <f>SUM(J3000:J3002)</f>
        <v>28676</v>
      </c>
      <c r="K2999" s="77">
        <f>SUM(K3000:K3002)</f>
        <v>760345</v>
      </c>
      <c r="L2999" s="127"/>
      <c r="M2999" s="95"/>
    </row>
    <row r="3000" spans="1:13" s="15" customFormat="1" ht="13.5" customHeight="1">
      <c r="A3000" s="407"/>
      <c r="C3000" s="154"/>
      <c r="D3000" s="446" t="s">
        <v>5</v>
      </c>
      <c r="E3000" s="446"/>
      <c r="F3000" s="446"/>
      <c r="G3000" s="446"/>
      <c r="H3000" s="446"/>
      <c r="I3000" s="29">
        <v>280000</v>
      </c>
      <c r="J3000" s="80">
        <f>28676</f>
        <v>28676</v>
      </c>
      <c r="K3000" s="80">
        <f>SUM(I3000:J3000)</f>
        <v>308676</v>
      </c>
      <c r="L3000" s="127"/>
      <c r="M3000" s="95"/>
    </row>
    <row r="3001" spans="1:13" s="15" customFormat="1" ht="12.75" customHeight="1">
      <c r="A3001" s="407"/>
      <c r="C3001" s="154"/>
      <c r="D3001" s="446" t="s">
        <v>6</v>
      </c>
      <c r="E3001" s="446"/>
      <c r="F3001" s="446"/>
      <c r="G3001" s="446"/>
      <c r="H3001" s="446"/>
      <c r="I3001" s="29">
        <v>451669</v>
      </c>
      <c r="J3001" s="80"/>
      <c r="K3001" s="80">
        <f>SUM(I3001:J3001)</f>
        <v>451669</v>
      </c>
      <c r="L3001" s="127"/>
      <c r="M3001" s="95"/>
    </row>
    <row r="3002" spans="1:13" s="15" customFormat="1" ht="13.5" customHeight="1" hidden="1">
      <c r="A3002" s="407"/>
      <c r="C3002" s="154"/>
      <c r="D3002" s="446" t="s">
        <v>7</v>
      </c>
      <c r="E3002" s="446"/>
      <c r="F3002" s="446"/>
      <c r="G3002" s="446"/>
      <c r="H3002" s="446"/>
      <c r="I3002" s="29"/>
      <c r="J3002" s="78"/>
      <c r="K3002" s="80">
        <f>SUM(I3002:J3002)</f>
        <v>0</v>
      </c>
      <c r="L3002" s="127"/>
      <c r="M3002" s="95"/>
    </row>
    <row r="3003" spans="1:13" s="15" customFormat="1" ht="13.5" customHeight="1">
      <c r="A3003" s="407"/>
      <c r="C3003" s="154"/>
      <c r="D3003" s="447" t="s">
        <v>38</v>
      </c>
      <c r="E3003" s="447"/>
      <c r="F3003" s="447"/>
      <c r="G3003" s="447"/>
      <c r="H3003" s="447"/>
      <c r="I3003" s="253">
        <f>SUM(I3004:I3009)</f>
        <v>757466</v>
      </c>
      <c r="J3003" s="253">
        <f>SUM(J3004:J3009)</f>
        <v>28676</v>
      </c>
      <c r="K3003" s="253">
        <f>SUM(K3004:K3009)</f>
        <v>786142</v>
      </c>
      <c r="L3003" s="127"/>
      <c r="M3003" s="95"/>
    </row>
    <row r="3004" spans="1:13" s="15" customFormat="1" ht="13.5" customHeight="1">
      <c r="A3004" s="407"/>
      <c r="C3004" s="154"/>
      <c r="D3004" s="446" t="s">
        <v>289</v>
      </c>
      <c r="E3004" s="446"/>
      <c r="F3004" s="446"/>
      <c r="G3004" s="446"/>
      <c r="H3004" s="446"/>
      <c r="I3004" s="29">
        <f>280000+47958</f>
        <v>327958</v>
      </c>
      <c r="J3004" s="80">
        <f>28676</f>
        <v>28676</v>
      </c>
      <c r="K3004" s="80">
        <f>SUM(I3004:J3004)</f>
        <v>356634</v>
      </c>
      <c r="L3004" s="127"/>
      <c r="M3004" s="95"/>
    </row>
    <row r="3005" spans="1:13" s="79" customFormat="1" ht="12.75" customHeight="1">
      <c r="A3005" s="407"/>
      <c r="C3005" s="151"/>
      <c r="D3005" s="444" t="s">
        <v>8</v>
      </c>
      <c r="E3005" s="448"/>
      <c r="F3005" s="448"/>
      <c r="G3005" s="448"/>
      <c r="H3005" s="448"/>
      <c r="I3005" s="29">
        <v>419758</v>
      </c>
      <c r="J3005" s="80">
        <v>-18500</v>
      </c>
      <c r="K3005" s="80">
        <f>SUM(I3005:J3005)</f>
        <v>401258</v>
      </c>
      <c r="L3005" s="80"/>
      <c r="M3005" s="82"/>
    </row>
    <row r="3006" spans="1:12" s="82" customFormat="1" ht="2.25" customHeight="1" hidden="1">
      <c r="A3006" s="407"/>
      <c r="C3006" s="149"/>
      <c r="D3006" s="444" t="s">
        <v>10</v>
      </c>
      <c r="E3006" s="444"/>
      <c r="F3006" s="444"/>
      <c r="G3006" s="444"/>
      <c r="H3006" s="444"/>
      <c r="I3006" s="29"/>
      <c r="J3006" s="80"/>
      <c r="K3006" s="80">
        <f>SUM(I3006:J3006)</f>
        <v>0</v>
      </c>
      <c r="L3006" s="80"/>
    </row>
    <row r="3007" spans="1:12" s="82" customFormat="1" ht="13.5" customHeight="1" hidden="1">
      <c r="A3007" s="407"/>
      <c r="C3007" s="149"/>
      <c r="D3007" s="444" t="s">
        <v>9</v>
      </c>
      <c r="E3007" s="444"/>
      <c r="F3007" s="444"/>
      <c r="G3007" s="444"/>
      <c r="H3007" s="444"/>
      <c r="I3007" s="29"/>
      <c r="J3007" s="80"/>
      <c r="K3007" s="80">
        <f>SUM(I3007:J3007)</f>
        <v>0</v>
      </c>
      <c r="L3007" s="80"/>
    </row>
    <row r="3008" spans="1:13" s="79" customFormat="1" ht="12.75" customHeight="1">
      <c r="A3008" s="407"/>
      <c r="C3008" s="151"/>
      <c r="D3008" s="444" t="s">
        <v>11</v>
      </c>
      <c r="E3008" s="444"/>
      <c r="F3008" s="444"/>
      <c r="G3008" s="444"/>
      <c r="H3008" s="444"/>
      <c r="I3008" s="29">
        <v>9750</v>
      </c>
      <c r="J3008" s="29">
        <f>18500</f>
        <v>18500</v>
      </c>
      <c r="K3008" s="80">
        <f>SUM(I3008:J3008)</f>
        <v>28250</v>
      </c>
      <c r="L3008" s="80"/>
      <c r="M3008" s="82"/>
    </row>
    <row r="3009" spans="1:12" s="82" customFormat="1" ht="13.5" customHeight="1" hidden="1">
      <c r="A3009" s="407"/>
      <c r="C3009" s="149"/>
      <c r="D3009" s="444" t="s">
        <v>12</v>
      </c>
      <c r="E3009" s="444"/>
      <c r="F3009" s="444"/>
      <c r="G3009" s="444"/>
      <c r="H3009" s="444"/>
      <c r="I3009" s="29"/>
      <c r="J3009" s="80"/>
      <c r="K3009" s="29"/>
      <c r="L3009" s="80"/>
    </row>
    <row r="3010" spans="1:12" s="82" customFormat="1" ht="13.5" customHeight="1">
      <c r="A3010" s="407"/>
      <c r="C3010" s="149"/>
      <c r="D3010" s="445" t="s">
        <v>277</v>
      </c>
      <c r="E3010" s="445"/>
      <c r="F3010" s="445"/>
      <c r="G3010" s="445"/>
      <c r="H3010" s="445"/>
      <c r="I3010" s="77">
        <f>I2999-I3003</f>
        <v>-25797</v>
      </c>
      <c r="J3010" s="77">
        <f>J2999-J3003</f>
        <v>0</v>
      </c>
      <c r="K3010" s="77">
        <f>K2999-K3003</f>
        <v>-25797</v>
      </c>
      <c r="L3010" s="80"/>
    </row>
    <row r="3011" spans="1:12" s="82" customFormat="1" ht="13.5" customHeight="1">
      <c r="A3011" s="407"/>
      <c r="C3011" s="149"/>
      <c r="D3011" s="444" t="s">
        <v>279</v>
      </c>
      <c r="E3011" s="444"/>
      <c r="F3011" s="444"/>
      <c r="G3011" s="444"/>
      <c r="H3011" s="444"/>
      <c r="I3011" s="29">
        <f>I3012+I3013+I3014</f>
        <v>25797</v>
      </c>
      <c r="J3011" s="29">
        <f>J3012+J3013+J3014</f>
        <v>0</v>
      </c>
      <c r="K3011" s="29">
        <f>K3012+K3013+K3014</f>
        <v>25797</v>
      </c>
      <c r="L3011" s="80"/>
    </row>
    <row r="3012" spans="1:12" s="82" customFormat="1" ht="12.75" customHeight="1">
      <c r="A3012" s="407"/>
      <c r="C3012" s="149"/>
      <c r="D3012" s="444" t="s">
        <v>278</v>
      </c>
      <c r="E3012" s="444"/>
      <c r="F3012" s="444"/>
      <c r="G3012" s="444"/>
      <c r="H3012" s="444"/>
      <c r="I3012" s="29">
        <v>25797</v>
      </c>
      <c r="J3012" s="77"/>
      <c r="K3012" s="80">
        <f>SUM(I3012:J3012)</f>
        <v>25797</v>
      </c>
      <c r="L3012" s="80"/>
    </row>
    <row r="3013" spans="1:12" s="82" customFormat="1" ht="0.75" customHeight="1" hidden="1">
      <c r="A3013" s="407"/>
      <c r="C3013" s="149"/>
      <c r="D3013" s="444" t="s">
        <v>280</v>
      </c>
      <c r="E3013" s="444"/>
      <c r="F3013" s="444"/>
      <c r="G3013" s="444"/>
      <c r="H3013" s="444"/>
      <c r="I3013" s="29"/>
      <c r="J3013" s="77"/>
      <c r="K3013" s="80">
        <f>SUM(I3013:J3013)</f>
        <v>0</v>
      </c>
      <c r="L3013" s="80"/>
    </row>
    <row r="3014" spans="1:12" s="82" customFormat="1" ht="13.5" customHeight="1" hidden="1">
      <c r="A3014" s="407"/>
      <c r="C3014" s="149"/>
      <c r="D3014" s="444" t="s">
        <v>281</v>
      </c>
      <c r="E3014" s="444"/>
      <c r="F3014" s="444"/>
      <c r="G3014" s="444"/>
      <c r="H3014" s="444"/>
      <c r="I3014" s="29"/>
      <c r="J3014" s="77"/>
      <c r="K3014" s="80">
        <f>SUM(I3014:J3014)</f>
        <v>0</v>
      </c>
      <c r="L3014" s="80"/>
    </row>
    <row r="3015" spans="1:12" s="82" customFormat="1" ht="29.25" customHeight="1">
      <c r="A3015" s="407"/>
      <c r="C3015" s="149"/>
      <c r="D3015" s="85"/>
      <c r="E3015" s="85"/>
      <c r="F3015" s="85"/>
      <c r="G3015" s="85"/>
      <c r="H3015" s="85"/>
      <c r="I3015" s="29"/>
      <c r="J3015" s="80"/>
      <c r="K3015" s="29"/>
      <c r="L3015" s="80"/>
    </row>
    <row r="3016" spans="1:12" s="82" customFormat="1" ht="16.5" customHeight="1" hidden="1">
      <c r="A3016" s="407"/>
      <c r="C3016" s="149"/>
      <c r="D3016" s="85"/>
      <c r="E3016" s="85"/>
      <c r="F3016" s="85"/>
      <c r="G3016" s="85"/>
      <c r="H3016" s="85"/>
      <c r="I3016" s="29"/>
      <c r="J3016" s="80"/>
      <c r="K3016" s="29"/>
      <c r="L3016" s="80"/>
    </row>
    <row r="3017" spans="1:12" s="82" customFormat="1" ht="13.5" customHeight="1">
      <c r="A3017" s="407"/>
      <c r="C3017" s="142" t="s">
        <v>396</v>
      </c>
      <c r="D3017" s="450" t="s">
        <v>55</v>
      </c>
      <c r="E3017" s="450"/>
      <c r="F3017" s="450"/>
      <c r="G3017" s="450"/>
      <c r="H3017" s="450"/>
      <c r="I3017" s="17"/>
      <c r="J3017" s="126"/>
      <c r="K3017" s="126"/>
      <c r="L3017" s="80"/>
    </row>
    <row r="3018" spans="1:12" s="82" customFormat="1" ht="13.5" customHeight="1">
      <c r="A3018" s="407"/>
      <c r="C3018" s="154"/>
      <c r="D3018" s="447" t="s">
        <v>37</v>
      </c>
      <c r="E3018" s="447"/>
      <c r="F3018" s="447"/>
      <c r="G3018" s="447"/>
      <c r="H3018" s="447"/>
      <c r="I3018" s="77">
        <f>SUM(I3019:I3021)</f>
        <v>84262</v>
      </c>
      <c r="J3018" s="77">
        <f>SUM(J3019:J3021)</f>
        <v>6914</v>
      </c>
      <c r="K3018" s="77">
        <f>SUM(K3019:K3021)</f>
        <v>91176</v>
      </c>
      <c r="L3018" s="80"/>
    </row>
    <row r="3019" spans="1:12" s="82" customFormat="1" ht="12" customHeight="1">
      <c r="A3019" s="407"/>
      <c r="C3019" s="154"/>
      <c r="D3019" s="446" t="s">
        <v>5</v>
      </c>
      <c r="E3019" s="446"/>
      <c r="F3019" s="446"/>
      <c r="G3019" s="446"/>
      <c r="H3019" s="446"/>
      <c r="I3019" s="29">
        <v>84262</v>
      </c>
      <c r="J3019" s="80">
        <f>6300+614</f>
        <v>6914</v>
      </c>
      <c r="K3019" s="80">
        <f>SUM(I3019:J3019)</f>
        <v>91176</v>
      </c>
      <c r="L3019" s="80"/>
    </row>
    <row r="3020" spans="1:12" s="82" customFormat="1" ht="13.5" customHeight="1" hidden="1">
      <c r="A3020" s="407"/>
      <c r="C3020" s="154"/>
      <c r="D3020" s="446" t="s">
        <v>6</v>
      </c>
      <c r="E3020" s="446"/>
      <c r="F3020" s="446"/>
      <c r="G3020" s="446"/>
      <c r="H3020" s="446"/>
      <c r="I3020" s="29"/>
      <c r="J3020" s="80"/>
      <c r="K3020" s="80">
        <f>SUM(I3020:J3020)</f>
        <v>0</v>
      </c>
      <c r="L3020" s="80"/>
    </row>
    <row r="3021" spans="1:12" s="82" customFormat="1" ht="13.5" customHeight="1" hidden="1">
      <c r="A3021" s="407"/>
      <c r="C3021" s="154"/>
      <c r="D3021" s="446" t="s">
        <v>7</v>
      </c>
      <c r="E3021" s="446"/>
      <c r="F3021" s="446"/>
      <c r="G3021" s="446"/>
      <c r="H3021" s="446"/>
      <c r="I3021" s="29"/>
      <c r="J3021" s="78"/>
      <c r="K3021" s="80">
        <f>SUM(I3021:J3021)</f>
        <v>0</v>
      </c>
      <c r="L3021" s="80"/>
    </row>
    <row r="3022" spans="1:12" s="82" customFormat="1" ht="13.5" customHeight="1">
      <c r="A3022" s="407"/>
      <c r="C3022" s="154"/>
      <c r="D3022" s="447" t="s">
        <v>38</v>
      </c>
      <c r="E3022" s="447"/>
      <c r="F3022" s="447"/>
      <c r="G3022" s="447"/>
      <c r="H3022" s="447"/>
      <c r="I3022" s="253">
        <f>SUM(I3023:I3028)</f>
        <v>84262</v>
      </c>
      <c r="J3022" s="253">
        <f>SUM(J3023:J3028)</f>
        <v>6914</v>
      </c>
      <c r="K3022" s="253">
        <f>SUM(K3023:K3028)</f>
        <v>91176</v>
      </c>
      <c r="L3022" s="80"/>
    </row>
    <row r="3023" spans="1:12" s="82" customFormat="1" ht="13.5" customHeight="1">
      <c r="A3023" s="407"/>
      <c r="C3023" s="154"/>
      <c r="D3023" s="446" t="s">
        <v>289</v>
      </c>
      <c r="E3023" s="446"/>
      <c r="F3023" s="446"/>
      <c r="G3023" s="446"/>
      <c r="H3023" s="446"/>
      <c r="I3023" s="29">
        <v>73922</v>
      </c>
      <c r="J3023" s="80">
        <f>6914</f>
        <v>6914</v>
      </c>
      <c r="K3023" s="80">
        <f>SUM(I3023:J3023)</f>
        <v>80836</v>
      </c>
      <c r="L3023" s="80"/>
    </row>
    <row r="3024" spans="1:12" s="82" customFormat="1" ht="13.5" customHeight="1">
      <c r="A3024" s="407"/>
      <c r="C3024" s="151"/>
      <c r="D3024" s="444" t="s">
        <v>8</v>
      </c>
      <c r="E3024" s="448"/>
      <c r="F3024" s="448"/>
      <c r="G3024" s="448"/>
      <c r="H3024" s="448"/>
      <c r="I3024" s="29">
        <v>9470</v>
      </c>
      <c r="J3024" s="80"/>
      <c r="K3024" s="80">
        <f>SUM(I3024:J3024)</f>
        <v>9470</v>
      </c>
      <c r="L3024" s="80"/>
    </row>
    <row r="3025" spans="1:12" s="82" customFormat="1" ht="13.5" customHeight="1" hidden="1">
      <c r="A3025" s="407"/>
      <c r="C3025" s="149"/>
      <c r="D3025" s="444" t="s">
        <v>10</v>
      </c>
      <c r="E3025" s="444"/>
      <c r="F3025" s="444"/>
      <c r="G3025" s="444"/>
      <c r="H3025" s="444"/>
      <c r="I3025" s="29"/>
      <c r="J3025" s="80"/>
      <c r="K3025" s="80">
        <f>SUM(I3025:J3025)</f>
        <v>0</v>
      </c>
      <c r="L3025" s="80"/>
    </row>
    <row r="3026" spans="1:12" s="82" customFormat="1" ht="13.5" customHeight="1" hidden="1">
      <c r="A3026" s="407"/>
      <c r="C3026" s="149"/>
      <c r="D3026" s="444" t="s">
        <v>9</v>
      </c>
      <c r="E3026" s="444"/>
      <c r="F3026" s="444"/>
      <c r="G3026" s="444"/>
      <c r="H3026" s="444"/>
      <c r="I3026" s="29"/>
      <c r="J3026" s="80"/>
      <c r="K3026" s="80">
        <f>SUM(I3026:J3026)</f>
        <v>0</v>
      </c>
      <c r="L3026" s="80"/>
    </row>
    <row r="3027" spans="1:12" s="82" customFormat="1" ht="13.5" customHeight="1">
      <c r="A3027" s="407"/>
      <c r="C3027" s="151"/>
      <c r="D3027" s="444" t="s">
        <v>11</v>
      </c>
      <c r="E3027" s="444"/>
      <c r="F3027" s="444"/>
      <c r="G3027" s="444"/>
      <c r="H3027" s="444"/>
      <c r="I3027" s="29">
        <v>870</v>
      </c>
      <c r="J3027" s="29"/>
      <c r="K3027" s="80">
        <f>SUM(I3027:J3027)</f>
        <v>870</v>
      </c>
      <c r="L3027" s="80"/>
    </row>
    <row r="3028" spans="1:12" s="82" customFormat="1" ht="13.5" customHeight="1" hidden="1">
      <c r="A3028" s="407"/>
      <c r="C3028" s="149"/>
      <c r="D3028" s="444" t="s">
        <v>12</v>
      </c>
      <c r="E3028" s="444"/>
      <c r="F3028" s="444"/>
      <c r="G3028" s="444"/>
      <c r="H3028" s="444"/>
      <c r="I3028" s="29"/>
      <c r="J3028" s="80"/>
      <c r="K3028" s="29"/>
      <c r="L3028" s="80"/>
    </row>
    <row r="3029" spans="1:12" s="82" customFormat="1" ht="13.5" customHeight="1">
      <c r="A3029" s="407"/>
      <c r="C3029" s="149"/>
      <c r="D3029" s="445" t="s">
        <v>277</v>
      </c>
      <c r="E3029" s="445"/>
      <c r="F3029" s="445"/>
      <c r="G3029" s="445"/>
      <c r="H3029" s="445"/>
      <c r="I3029" s="77">
        <f>I3018-I3022</f>
        <v>0</v>
      </c>
      <c r="J3029" s="77">
        <f>J3018-J3022</f>
        <v>0</v>
      </c>
      <c r="K3029" s="77">
        <f>K3018-K3022</f>
        <v>0</v>
      </c>
      <c r="L3029" s="80"/>
    </row>
    <row r="3030" spans="1:12" s="82" customFormat="1" ht="12.75" customHeight="1">
      <c r="A3030" s="407"/>
      <c r="C3030" s="149"/>
      <c r="D3030" s="444" t="s">
        <v>279</v>
      </c>
      <c r="E3030" s="444"/>
      <c r="F3030" s="444"/>
      <c r="G3030" s="444"/>
      <c r="H3030" s="444"/>
      <c r="I3030" s="29">
        <f>I3031+I3032+I3033</f>
        <v>0</v>
      </c>
      <c r="J3030" s="29">
        <f>J3031+J3032+J3033</f>
        <v>0</v>
      </c>
      <c r="K3030" s="29">
        <f>K3031+K3032+K3033</f>
        <v>0</v>
      </c>
      <c r="L3030" s="80"/>
    </row>
    <row r="3031" spans="1:12" s="82" customFormat="1" ht="13.5" customHeight="1" hidden="1">
      <c r="A3031" s="407"/>
      <c r="C3031" s="149"/>
      <c r="D3031" s="444" t="s">
        <v>278</v>
      </c>
      <c r="E3031" s="444"/>
      <c r="F3031" s="444"/>
      <c r="G3031" s="444"/>
      <c r="H3031" s="444"/>
      <c r="I3031" s="29"/>
      <c r="J3031" s="77"/>
      <c r="K3031" s="80">
        <f>SUM(I3031:J3031)</f>
        <v>0</v>
      </c>
      <c r="L3031" s="80"/>
    </row>
    <row r="3032" spans="1:12" s="82" customFormat="1" ht="13.5" customHeight="1" hidden="1">
      <c r="A3032" s="407"/>
      <c r="C3032" s="149"/>
      <c r="D3032" s="444" t="s">
        <v>280</v>
      </c>
      <c r="E3032" s="444"/>
      <c r="F3032" s="444"/>
      <c r="G3032" s="444"/>
      <c r="H3032" s="444"/>
      <c r="I3032" s="29"/>
      <c r="J3032" s="77"/>
      <c r="K3032" s="80">
        <f>SUM(I3032:J3032)</f>
        <v>0</v>
      </c>
      <c r="L3032" s="80"/>
    </row>
    <row r="3033" spans="1:12" s="82" customFormat="1" ht="13.5" customHeight="1" hidden="1">
      <c r="A3033" s="407"/>
      <c r="C3033" s="149"/>
      <c r="D3033" s="444" t="s">
        <v>281</v>
      </c>
      <c r="E3033" s="444"/>
      <c r="F3033" s="444"/>
      <c r="G3033" s="444"/>
      <c r="H3033" s="444"/>
      <c r="I3033" s="29"/>
      <c r="J3033" s="77"/>
      <c r="K3033" s="80">
        <f>SUM(I3033:J3033)</f>
        <v>0</v>
      </c>
      <c r="L3033" s="80"/>
    </row>
    <row r="3034" spans="1:12" s="82" customFormat="1" ht="7.5" customHeight="1">
      <c r="A3034" s="407"/>
      <c r="C3034" s="149"/>
      <c r="D3034" s="85"/>
      <c r="E3034" s="85"/>
      <c r="F3034" s="85"/>
      <c r="G3034" s="85"/>
      <c r="H3034" s="85"/>
      <c r="I3034" s="29"/>
      <c r="J3034" s="80"/>
      <c r="K3034" s="29"/>
      <c r="L3034" s="80"/>
    </row>
    <row r="3035" spans="1:12" s="82" customFormat="1" ht="47.25" customHeight="1" hidden="1">
      <c r="A3035" s="407"/>
      <c r="C3035" s="149"/>
      <c r="D3035" s="85"/>
      <c r="E3035" s="85"/>
      <c r="F3035" s="85"/>
      <c r="G3035" s="85"/>
      <c r="H3035" s="85"/>
      <c r="I3035" s="29"/>
      <c r="J3035" s="80"/>
      <c r="K3035" s="29"/>
      <c r="L3035" s="80"/>
    </row>
    <row r="3036" spans="1:12" s="95" customFormat="1" ht="13.5" customHeight="1">
      <c r="A3036" s="407"/>
      <c r="C3036" s="142" t="s">
        <v>290</v>
      </c>
      <c r="D3036" s="450" t="s">
        <v>390</v>
      </c>
      <c r="E3036" s="450"/>
      <c r="F3036" s="450"/>
      <c r="G3036" s="450"/>
      <c r="H3036" s="450"/>
      <c r="I3036" s="17"/>
      <c r="J3036" s="127"/>
      <c r="K3036" s="129"/>
      <c r="L3036" s="127"/>
    </row>
    <row r="3037" spans="1:12" s="82" customFormat="1" ht="13.5" customHeight="1">
      <c r="A3037" s="407"/>
      <c r="C3037" s="154"/>
      <c r="D3037" s="447" t="s">
        <v>37</v>
      </c>
      <c r="E3037" s="447"/>
      <c r="F3037" s="447"/>
      <c r="G3037" s="447"/>
      <c r="H3037" s="447"/>
      <c r="I3037" s="77">
        <f>SUM(I3038:I3040)</f>
        <v>560591</v>
      </c>
      <c r="J3037" s="77">
        <f>SUM(J3038:J3040)</f>
        <v>229863</v>
      </c>
      <c r="K3037" s="77">
        <f>SUM(K3038:K3040)</f>
        <v>790454</v>
      </c>
      <c r="L3037" s="80"/>
    </row>
    <row r="3038" spans="1:12" s="82" customFormat="1" ht="13.5" customHeight="1">
      <c r="A3038" s="407"/>
      <c r="C3038" s="154"/>
      <c r="D3038" s="446" t="s">
        <v>5</v>
      </c>
      <c r="E3038" s="446"/>
      <c r="F3038" s="446"/>
      <c r="G3038" s="446"/>
      <c r="H3038" s="446"/>
      <c r="I3038" s="29">
        <v>20116</v>
      </c>
      <c r="J3038" s="80"/>
      <c r="K3038" s="29">
        <f>SUM(I3038:J3038)</f>
        <v>20116</v>
      </c>
      <c r="L3038" s="80"/>
    </row>
    <row r="3039" spans="1:12" s="82" customFormat="1" ht="13.5" customHeight="1" hidden="1">
      <c r="A3039" s="407"/>
      <c r="C3039" s="154"/>
      <c r="D3039" s="446" t="s">
        <v>6</v>
      </c>
      <c r="E3039" s="446"/>
      <c r="F3039" s="446"/>
      <c r="G3039" s="446"/>
      <c r="H3039" s="446"/>
      <c r="I3039" s="29"/>
      <c r="J3039" s="80"/>
      <c r="K3039" s="29">
        <f>SUM(I3039:J3039)</f>
        <v>0</v>
      </c>
      <c r="L3039" s="80"/>
    </row>
    <row r="3040" spans="1:12" s="82" customFormat="1" ht="13.5" customHeight="1">
      <c r="A3040" s="407"/>
      <c r="C3040" s="154"/>
      <c r="D3040" s="446" t="s">
        <v>7</v>
      </c>
      <c r="E3040" s="446"/>
      <c r="F3040" s="446"/>
      <c r="G3040" s="446"/>
      <c r="H3040" s="446"/>
      <c r="I3040" s="29">
        <v>540475</v>
      </c>
      <c r="J3040" s="80">
        <f>229863</f>
        <v>229863</v>
      </c>
      <c r="K3040" s="29">
        <f>SUM(I3040:J3040)</f>
        <v>770338</v>
      </c>
      <c r="L3040" s="80"/>
    </row>
    <row r="3041" spans="1:12" s="82" customFormat="1" ht="13.5" customHeight="1">
      <c r="A3041" s="407"/>
      <c r="C3041" s="154"/>
      <c r="D3041" s="447" t="s">
        <v>38</v>
      </c>
      <c r="E3041" s="447"/>
      <c r="F3041" s="447"/>
      <c r="G3041" s="447"/>
      <c r="H3041" s="447"/>
      <c r="I3041" s="253">
        <f>SUM(I3042:I3047)</f>
        <v>774796</v>
      </c>
      <c r="J3041" s="253">
        <f>SUM(J3042:J3047)</f>
        <v>229863</v>
      </c>
      <c r="K3041" s="253">
        <f>SUM(K3042:K3047)</f>
        <v>1004659</v>
      </c>
      <c r="L3041" s="80"/>
    </row>
    <row r="3042" spans="1:12" s="82" customFormat="1" ht="13.5" customHeight="1">
      <c r="A3042" s="407"/>
      <c r="C3042" s="154"/>
      <c r="D3042" s="446" t="s">
        <v>289</v>
      </c>
      <c r="E3042" s="446"/>
      <c r="F3042" s="446"/>
      <c r="G3042" s="446"/>
      <c r="H3042" s="446"/>
      <c r="I3042" s="29">
        <f>14324+56810</f>
        <v>71134</v>
      </c>
      <c r="J3042" s="80">
        <f>18198</f>
        <v>18198</v>
      </c>
      <c r="K3042" s="29">
        <f aca="true" t="shared" si="205" ref="K3042:K3047">SUM(I3042:J3042)</f>
        <v>89332</v>
      </c>
      <c r="L3042" s="80"/>
    </row>
    <row r="3043" spans="1:12" s="82" customFormat="1" ht="11.25" customHeight="1">
      <c r="A3043" s="407"/>
      <c r="C3043" s="151"/>
      <c r="D3043" s="444" t="s">
        <v>8</v>
      </c>
      <c r="E3043" s="448"/>
      <c r="F3043" s="448"/>
      <c r="G3043" s="448"/>
      <c r="H3043" s="448"/>
      <c r="I3043" s="29">
        <f>5792+99278</f>
        <v>105070</v>
      </c>
      <c r="J3043" s="80">
        <f>-850+16725</f>
        <v>15875</v>
      </c>
      <c r="K3043" s="29">
        <f t="shared" si="205"/>
        <v>120945</v>
      </c>
      <c r="L3043" s="80"/>
    </row>
    <row r="3044" spans="1:12" s="82" customFormat="1" ht="0.75" customHeight="1" hidden="1">
      <c r="A3044" s="407"/>
      <c r="C3044" s="149"/>
      <c r="D3044" s="444" t="s">
        <v>10</v>
      </c>
      <c r="E3044" s="444"/>
      <c r="F3044" s="444"/>
      <c r="G3044" s="444"/>
      <c r="H3044" s="444"/>
      <c r="I3044" s="29"/>
      <c r="J3044" s="80"/>
      <c r="K3044" s="29">
        <f t="shared" si="205"/>
        <v>0</v>
      </c>
      <c r="L3044" s="80"/>
    </row>
    <row r="3045" spans="1:12" s="82" customFormat="1" ht="12.75" customHeight="1" hidden="1">
      <c r="A3045" s="407"/>
      <c r="C3045" s="149"/>
      <c r="D3045" s="444" t="s">
        <v>9</v>
      </c>
      <c r="E3045" s="444"/>
      <c r="F3045" s="444"/>
      <c r="G3045" s="444"/>
      <c r="H3045" s="444"/>
      <c r="I3045" s="29"/>
      <c r="J3045" s="80"/>
      <c r="K3045" s="29">
        <f t="shared" si="205"/>
        <v>0</v>
      </c>
      <c r="L3045" s="80"/>
    </row>
    <row r="3046" spans="1:12" s="82" customFormat="1" ht="12.75" customHeight="1">
      <c r="A3046" s="407"/>
      <c r="C3046" s="151"/>
      <c r="D3046" s="444" t="s">
        <v>11</v>
      </c>
      <c r="E3046" s="444"/>
      <c r="F3046" s="444"/>
      <c r="G3046" s="444"/>
      <c r="H3046" s="444"/>
      <c r="I3046" s="29"/>
      <c r="J3046" s="80">
        <v>850</v>
      </c>
      <c r="K3046" s="29">
        <f t="shared" si="205"/>
        <v>850</v>
      </c>
      <c r="L3046" s="80"/>
    </row>
    <row r="3047" spans="1:12" s="82" customFormat="1" ht="12.75" customHeight="1">
      <c r="A3047" s="407"/>
      <c r="C3047" s="149"/>
      <c r="D3047" s="444" t="s">
        <v>12</v>
      </c>
      <c r="E3047" s="444"/>
      <c r="F3047" s="444"/>
      <c r="G3047" s="444"/>
      <c r="H3047" s="444"/>
      <c r="I3047" s="29">
        <f>598592</f>
        <v>598592</v>
      </c>
      <c r="J3047" s="80">
        <f>194940</f>
        <v>194940</v>
      </c>
      <c r="K3047" s="29">
        <f t="shared" si="205"/>
        <v>793532</v>
      </c>
      <c r="L3047" s="80"/>
    </row>
    <row r="3048" spans="1:12" s="82" customFormat="1" ht="12.75" customHeight="1">
      <c r="A3048" s="407"/>
      <c r="C3048" s="149"/>
      <c r="D3048" s="445" t="s">
        <v>277</v>
      </c>
      <c r="E3048" s="445"/>
      <c r="F3048" s="445"/>
      <c r="G3048" s="445"/>
      <c r="H3048" s="445"/>
      <c r="I3048" s="77">
        <f>I3037-I3041</f>
        <v>-214205</v>
      </c>
      <c r="J3048" s="77">
        <f>J3037-J3041</f>
        <v>0</v>
      </c>
      <c r="K3048" s="77">
        <f>K3037-K3041</f>
        <v>-214205</v>
      </c>
      <c r="L3048" s="80"/>
    </row>
    <row r="3049" spans="1:12" s="82" customFormat="1" ht="13.5" customHeight="1">
      <c r="A3049" s="407"/>
      <c r="C3049" s="149"/>
      <c r="D3049" s="444" t="s">
        <v>279</v>
      </c>
      <c r="E3049" s="444"/>
      <c r="F3049" s="444"/>
      <c r="G3049" s="444"/>
      <c r="H3049" s="444"/>
      <c r="I3049" s="29">
        <f>I3050+I3051+I3052</f>
        <v>214205</v>
      </c>
      <c r="J3049" s="29">
        <f>J3050+J3051+J3052</f>
        <v>0</v>
      </c>
      <c r="K3049" s="29">
        <f>K3050+K3051+K3052</f>
        <v>214205</v>
      </c>
      <c r="L3049" s="80"/>
    </row>
    <row r="3050" spans="1:12" s="82" customFormat="1" ht="12" customHeight="1">
      <c r="A3050" s="407"/>
      <c r="C3050" s="149"/>
      <c r="D3050" s="444" t="s">
        <v>278</v>
      </c>
      <c r="E3050" s="444"/>
      <c r="F3050" s="444"/>
      <c r="G3050" s="444"/>
      <c r="H3050" s="444"/>
      <c r="I3050" s="29">
        <v>214205</v>
      </c>
      <c r="J3050" s="77"/>
      <c r="K3050" s="80">
        <f>SUM(I3050:J3050)</f>
        <v>214205</v>
      </c>
      <c r="L3050" s="80"/>
    </row>
    <row r="3051" spans="1:12" s="82" customFormat="1" ht="13.5" customHeight="1" hidden="1">
      <c r="A3051" s="407"/>
      <c r="C3051" s="149"/>
      <c r="D3051" s="444" t="s">
        <v>280</v>
      </c>
      <c r="E3051" s="444"/>
      <c r="F3051" s="444"/>
      <c r="G3051" s="444"/>
      <c r="H3051" s="444"/>
      <c r="I3051" s="29"/>
      <c r="J3051" s="77"/>
      <c r="K3051" s="80">
        <f>SUM(I3051:J3051)</f>
        <v>0</v>
      </c>
      <c r="L3051" s="80"/>
    </row>
    <row r="3052" spans="1:12" s="82" customFormat="1" ht="13.5" customHeight="1" hidden="1">
      <c r="A3052" s="407"/>
      <c r="C3052" s="149"/>
      <c r="D3052" s="444" t="s">
        <v>281</v>
      </c>
      <c r="E3052" s="444"/>
      <c r="F3052" s="444"/>
      <c r="G3052" s="444"/>
      <c r="H3052" s="444"/>
      <c r="I3052" s="29"/>
      <c r="J3052" s="77"/>
      <c r="K3052" s="80">
        <f>SUM(I3052:J3052)</f>
        <v>0</v>
      </c>
      <c r="L3052" s="80"/>
    </row>
    <row r="3053" spans="1:12" s="82" customFormat="1" ht="13.5" customHeight="1" hidden="1">
      <c r="A3053" s="407"/>
      <c r="C3053" s="149"/>
      <c r="D3053" s="85"/>
      <c r="E3053" s="85"/>
      <c r="F3053" s="85"/>
      <c r="G3053" s="85"/>
      <c r="H3053" s="85"/>
      <c r="I3053" s="29"/>
      <c r="J3053" s="80"/>
      <c r="K3053" s="29"/>
      <c r="L3053" s="80"/>
    </row>
    <row r="3054" spans="1:12" s="82" customFormat="1" ht="13.5" customHeight="1" hidden="1">
      <c r="A3054" s="407"/>
      <c r="C3054" s="149"/>
      <c r="D3054" s="85"/>
      <c r="E3054" s="85"/>
      <c r="F3054" s="85"/>
      <c r="G3054" s="85"/>
      <c r="H3054" s="85"/>
      <c r="I3054" s="29"/>
      <c r="J3054" s="80"/>
      <c r="K3054" s="29"/>
      <c r="L3054" s="80"/>
    </row>
    <row r="3055" spans="1:13" s="15" customFormat="1" ht="13.5" customHeight="1" hidden="1">
      <c r="A3055" s="407"/>
      <c r="C3055" s="142" t="s">
        <v>117</v>
      </c>
      <c r="D3055" s="450" t="s">
        <v>59</v>
      </c>
      <c r="E3055" s="450"/>
      <c r="F3055" s="450"/>
      <c r="G3055" s="450"/>
      <c r="H3055" s="450"/>
      <c r="I3055" s="433"/>
      <c r="J3055" s="126"/>
      <c r="K3055" s="126"/>
      <c r="L3055" s="127"/>
      <c r="M3055" s="95"/>
    </row>
    <row r="3056" spans="1:13" s="15" customFormat="1" ht="13.5" customHeight="1" hidden="1">
      <c r="A3056" s="407"/>
      <c r="C3056" s="154"/>
      <c r="D3056" s="447" t="s">
        <v>37</v>
      </c>
      <c r="E3056" s="447"/>
      <c r="F3056" s="447"/>
      <c r="G3056" s="447"/>
      <c r="H3056" s="447"/>
      <c r="I3056" s="77">
        <f>SUM(I3057:I3059)</f>
        <v>0</v>
      </c>
      <c r="J3056" s="77">
        <f>SUM(J3057:J3059)</f>
        <v>0</v>
      </c>
      <c r="K3056" s="77">
        <f>SUM(K3057:K3059)</f>
        <v>0</v>
      </c>
      <c r="L3056" s="127"/>
      <c r="M3056" s="95"/>
    </row>
    <row r="3057" spans="1:13" s="15" customFormat="1" ht="13.5" customHeight="1" hidden="1">
      <c r="A3057" s="407"/>
      <c r="C3057" s="154"/>
      <c r="D3057" s="446" t="s">
        <v>5</v>
      </c>
      <c r="E3057" s="446"/>
      <c r="F3057" s="446"/>
      <c r="G3057" s="446"/>
      <c r="H3057" s="446"/>
      <c r="I3057" s="29"/>
      <c r="J3057" s="78"/>
      <c r="K3057" s="80">
        <f>SUM(I3057:J3057)</f>
        <v>0</v>
      </c>
      <c r="L3057" s="127"/>
      <c r="M3057" s="95"/>
    </row>
    <row r="3058" spans="1:13" s="15" customFormat="1" ht="13.5" customHeight="1" hidden="1">
      <c r="A3058" s="407"/>
      <c r="C3058" s="154"/>
      <c r="D3058" s="446" t="s">
        <v>6</v>
      </c>
      <c r="E3058" s="446"/>
      <c r="F3058" s="446"/>
      <c r="G3058" s="446"/>
      <c r="H3058" s="446"/>
      <c r="I3058" s="29"/>
      <c r="J3058" s="78"/>
      <c r="K3058" s="80">
        <f>SUM(I3058:J3058)</f>
        <v>0</v>
      </c>
      <c r="L3058" s="127"/>
      <c r="M3058" s="95"/>
    </row>
    <row r="3059" spans="1:13" s="15" customFormat="1" ht="13.5" customHeight="1" hidden="1">
      <c r="A3059" s="407"/>
      <c r="C3059" s="154"/>
      <c r="D3059" s="446" t="s">
        <v>7</v>
      </c>
      <c r="E3059" s="446"/>
      <c r="F3059" s="446"/>
      <c r="G3059" s="446"/>
      <c r="H3059" s="446"/>
      <c r="I3059" s="29"/>
      <c r="J3059" s="78"/>
      <c r="K3059" s="80">
        <f>SUM(I3059:J3059)</f>
        <v>0</v>
      </c>
      <c r="L3059" s="127"/>
      <c r="M3059" s="95"/>
    </row>
    <row r="3060" spans="1:13" s="15" customFormat="1" ht="13.5" customHeight="1" hidden="1">
      <c r="A3060" s="407"/>
      <c r="C3060" s="154"/>
      <c r="D3060" s="447" t="s">
        <v>38</v>
      </c>
      <c r="E3060" s="447"/>
      <c r="F3060" s="447"/>
      <c r="G3060" s="447"/>
      <c r="H3060" s="447"/>
      <c r="I3060" s="253">
        <f>SUM(I3061:I3066)</f>
        <v>0</v>
      </c>
      <c r="J3060" s="253">
        <f>SUM(J3061:J3066)</f>
        <v>0</v>
      </c>
      <c r="K3060" s="253">
        <f>SUM(K3061:K3066)</f>
        <v>0</v>
      </c>
      <c r="L3060" s="127"/>
      <c r="M3060" s="95"/>
    </row>
    <row r="3061" spans="1:13" s="79" customFormat="1" ht="13.5" customHeight="1" hidden="1">
      <c r="A3061" s="407"/>
      <c r="C3061" s="151"/>
      <c r="D3061" s="446" t="s">
        <v>289</v>
      </c>
      <c r="E3061" s="446"/>
      <c r="F3061" s="446"/>
      <c r="G3061" s="446"/>
      <c r="H3061" s="446"/>
      <c r="I3061" s="29"/>
      <c r="J3061" s="29"/>
      <c r="K3061" s="29">
        <f aca="true" t="shared" si="206" ref="K3061:K3066">SUM(I3061:J3061)</f>
        <v>0</v>
      </c>
      <c r="L3061" s="80"/>
      <c r="M3061" s="82"/>
    </row>
    <row r="3062" spans="1:12" s="82" customFormat="1" ht="13.5" customHeight="1" hidden="1">
      <c r="A3062" s="407"/>
      <c r="C3062" s="149"/>
      <c r="D3062" s="444" t="s">
        <v>8</v>
      </c>
      <c r="E3062" s="448"/>
      <c r="F3062" s="448"/>
      <c r="G3062" s="448"/>
      <c r="H3062" s="448"/>
      <c r="I3062" s="29"/>
      <c r="J3062" s="80"/>
      <c r="K3062" s="29">
        <f t="shared" si="206"/>
        <v>0</v>
      </c>
      <c r="L3062" s="80"/>
    </row>
    <row r="3063" spans="1:12" s="82" customFormat="1" ht="13.5" customHeight="1" hidden="1">
      <c r="A3063" s="407"/>
      <c r="C3063" s="149"/>
      <c r="D3063" s="444" t="s">
        <v>10</v>
      </c>
      <c r="E3063" s="444"/>
      <c r="F3063" s="444"/>
      <c r="G3063" s="444"/>
      <c r="H3063" s="444"/>
      <c r="I3063" s="29"/>
      <c r="J3063" s="80"/>
      <c r="K3063" s="29">
        <f t="shared" si="206"/>
        <v>0</v>
      </c>
      <c r="L3063" s="80"/>
    </row>
    <row r="3064" spans="1:13" s="79" customFormat="1" ht="13.5" customHeight="1" hidden="1">
      <c r="A3064" s="407"/>
      <c r="C3064" s="151"/>
      <c r="D3064" s="444" t="s">
        <v>9</v>
      </c>
      <c r="E3064" s="444"/>
      <c r="F3064" s="444"/>
      <c r="G3064" s="444"/>
      <c r="H3064" s="444"/>
      <c r="I3064" s="29"/>
      <c r="J3064" s="77"/>
      <c r="K3064" s="29">
        <f t="shared" si="206"/>
        <v>0</v>
      </c>
      <c r="L3064" s="80"/>
      <c r="M3064" s="82"/>
    </row>
    <row r="3065" spans="1:12" s="82" customFormat="1" ht="13.5" customHeight="1" hidden="1">
      <c r="A3065" s="407"/>
      <c r="C3065" s="149"/>
      <c r="D3065" s="444" t="s">
        <v>11</v>
      </c>
      <c r="E3065" s="444"/>
      <c r="F3065" s="444"/>
      <c r="G3065" s="444"/>
      <c r="H3065" s="444"/>
      <c r="I3065" s="29"/>
      <c r="J3065" s="80"/>
      <c r="K3065" s="29">
        <f t="shared" si="206"/>
        <v>0</v>
      </c>
      <c r="L3065" s="80"/>
    </row>
    <row r="3066" spans="1:12" s="82" customFormat="1" ht="13.5" customHeight="1" hidden="1">
      <c r="A3066" s="407"/>
      <c r="C3066" s="149"/>
      <c r="D3066" s="444" t="s">
        <v>12</v>
      </c>
      <c r="E3066" s="444"/>
      <c r="F3066" s="444"/>
      <c r="G3066" s="444"/>
      <c r="H3066" s="444"/>
      <c r="I3066" s="29"/>
      <c r="J3066" s="80"/>
      <c r="K3066" s="29">
        <f t="shared" si="206"/>
        <v>0</v>
      </c>
      <c r="L3066" s="80"/>
    </row>
    <row r="3067" spans="1:12" s="82" customFormat="1" ht="13.5" customHeight="1" hidden="1">
      <c r="A3067" s="407"/>
      <c r="C3067" s="149"/>
      <c r="D3067" s="445" t="s">
        <v>277</v>
      </c>
      <c r="E3067" s="445"/>
      <c r="F3067" s="445"/>
      <c r="G3067" s="445"/>
      <c r="H3067" s="445"/>
      <c r="I3067" s="77">
        <f>I3056-I3060</f>
        <v>0</v>
      </c>
      <c r="J3067" s="77">
        <f>J3056-J3060</f>
        <v>0</v>
      </c>
      <c r="K3067" s="77">
        <f>K3056-K3060</f>
        <v>0</v>
      </c>
      <c r="L3067" s="80"/>
    </row>
    <row r="3068" spans="1:12" s="82" customFormat="1" ht="13.5" customHeight="1" hidden="1">
      <c r="A3068" s="407"/>
      <c r="C3068" s="149"/>
      <c r="D3068" s="444" t="s">
        <v>279</v>
      </c>
      <c r="E3068" s="444"/>
      <c r="F3068" s="444"/>
      <c r="G3068" s="444"/>
      <c r="H3068" s="444"/>
      <c r="I3068" s="29">
        <f>I3069+I3070+I3071</f>
        <v>0</v>
      </c>
      <c r="J3068" s="29">
        <f>J3069+J3070+J3071</f>
        <v>0</v>
      </c>
      <c r="K3068" s="29">
        <f>K3069+K3070+K3071</f>
        <v>0</v>
      </c>
      <c r="L3068" s="80"/>
    </row>
    <row r="3069" spans="1:12" s="82" customFormat="1" ht="13.5" customHeight="1" hidden="1">
      <c r="A3069" s="407"/>
      <c r="C3069" s="149"/>
      <c r="D3069" s="444" t="s">
        <v>278</v>
      </c>
      <c r="E3069" s="444"/>
      <c r="F3069" s="444"/>
      <c r="G3069" s="444"/>
      <c r="H3069" s="444"/>
      <c r="I3069" s="29"/>
      <c r="J3069" s="77"/>
      <c r="K3069" s="80">
        <f>SUM(I3069:J3069)</f>
        <v>0</v>
      </c>
      <c r="L3069" s="80"/>
    </row>
    <row r="3070" spans="1:12" s="82" customFormat="1" ht="13.5" customHeight="1" hidden="1">
      <c r="A3070" s="407"/>
      <c r="C3070" s="149"/>
      <c r="D3070" s="444" t="s">
        <v>280</v>
      </c>
      <c r="E3070" s="444"/>
      <c r="F3070" s="444"/>
      <c r="G3070" s="444"/>
      <c r="H3070" s="444"/>
      <c r="I3070" s="29"/>
      <c r="J3070" s="77"/>
      <c r="K3070" s="80">
        <f>SUM(I3070:J3070)</f>
        <v>0</v>
      </c>
      <c r="L3070" s="80"/>
    </row>
    <row r="3071" spans="1:12" s="82" customFormat="1" ht="13.5" customHeight="1" hidden="1">
      <c r="A3071" s="407"/>
      <c r="C3071" s="149"/>
      <c r="D3071" s="444" t="s">
        <v>281</v>
      </c>
      <c r="E3071" s="444"/>
      <c r="F3071" s="444"/>
      <c r="G3071" s="444"/>
      <c r="H3071" s="444"/>
      <c r="I3071" s="29"/>
      <c r="J3071" s="77"/>
      <c r="K3071" s="80">
        <f>SUM(I3071:J3071)</f>
        <v>0</v>
      </c>
      <c r="L3071" s="80"/>
    </row>
    <row r="3072" spans="1:12" s="82" customFormat="1" ht="13.5" customHeight="1" hidden="1">
      <c r="A3072" s="407"/>
      <c r="C3072" s="149"/>
      <c r="D3072" s="85"/>
      <c r="E3072" s="85"/>
      <c r="F3072" s="85"/>
      <c r="G3072" s="85"/>
      <c r="H3072" s="85"/>
      <c r="I3072" s="29"/>
      <c r="J3072" s="80"/>
      <c r="K3072" s="80"/>
      <c r="L3072" s="80"/>
    </row>
    <row r="3073" spans="1:12" s="82" customFormat="1" ht="13.5" customHeight="1" hidden="1">
      <c r="A3073" s="407"/>
      <c r="C3073" s="149"/>
      <c r="D3073" s="85"/>
      <c r="E3073" s="85"/>
      <c r="F3073" s="85"/>
      <c r="G3073" s="85"/>
      <c r="H3073" s="85"/>
      <c r="I3073" s="29"/>
      <c r="J3073" s="80"/>
      <c r="K3073" s="80"/>
      <c r="L3073" s="80"/>
    </row>
    <row r="3074" spans="1:13" s="79" customFormat="1" ht="7.5" customHeight="1">
      <c r="A3074" s="407"/>
      <c r="C3074" s="151"/>
      <c r="D3074" s="85"/>
      <c r="E3074" s="85"/>
      <c r="F3074" s="85"/>
      <c r="G3074" s="85"/>
      <c r="H3074" s="85"/>
      <c r="I3074" s="29"/>
      <c r="J3074" s="78"/>
      <c r="K3074" s="29"/>
      <c r="L3074" s="80"/>
      <c r="M3074" s="82"/>
    </row>
    <row r="3075" spans="1:12" s="132" customFormat="1" ht="28.5" customHeight="1">
      <c r="A3075" s="411"/>
      <c r="C3075" s="128" t="s">
        <v>114</v>
      </c>
      <c r="D3075" s="435" t="s">
        <v>31</v>
      </c>
      <c r="E3075" s="435"/>
      <c r="F3075" s="435"/>
      <c r="G3075" s="435"/>
      <c r="H3075" s="435"/>
      <c r="I3075" s="136"/>
      <c r="J3075" s="131"/>
      <c r="K3075" s="131"/>
      <c r="L3075" s="131"/>
    </row>
    <row r="3076" spans="1:12" s="82" customFormat="1" ht="13.5" customHeight="1">
      <c r="A3076" s="407"/>
      <c r="C3076" s="151"/>
      <c r="D3076" s="447" t="s">
        <v>37</v>
      </c>
      <c r="E3076" s="447"/>
      <c r="F3076" s="447"/>
      <c r="G3076" s="447"/>
      <c r="H3076" s="447"/>
      <c r="I3076" s="77">
        <f>SUM(I3077:I3079)</f>
        <v>769294</v>
      </c>
      <c r="J3076" s="77">
        <f>SUM(J3077:J3079)</f>
        <v>0</v>
      </c>
      <c r="K3076" s="77">
        <f>SUM(K3077:K3079)</f>
        <v>769294</v>
      </c>
      <c r="L3076" s="80"/>
    </row>
    <row r="3077" spans="1:12" s="82" customFormat="1" ht="12.75" customHeight="1">
      <c r="A3077" s="407"/>
      <c r="C3077" s="151"/>
      <c r="D3077" s="446" t="s">
        <v>5</v>
      </c>
      <c r="E3077" s="446"/>
      <c r="F3077" s="446"/>
      <c r="G3077" s="446"/>
      <c r="H3077" s="446"/>
      <c r="I3077" s="29">
        <v>769294</v>
      </c>
      <c r="J3077" s="80"/>
      <c r="K3077" s="29">
        <f>SUM(I3077:J3077)</f>
        <v>769294</v>
      </c>
      <c r="L3077" s="80"/>
    </row>
    <row r="3078" spans="1:12" s="82" customFormat="1" ht="13.5" customHeight="1" hidden="1">
      <c r="A3078" s="407"/>
      <c r="C3078" s="151"/>
      <c r="D3078" s="446" t="s">
        <v>6</v>
      </c>
      <c r="E3078" s="446"/>
      <c r="F3078" s="446"/>
      <c r="G3078" s="446"/>
      <c r="H3078" s="446"/>
      <c r="I3078" s="29"/>
      <c r="J3078" s="80"/>
      <c r="K3078" s="29">
        <f>SUM(I3078:J3078)</f>
        <v>0</v>
      </c>
      <c r="L3078" s="80"/>
    </row>
    <row r="3079" spans="1:12" s="82" customFormat="1" ht="13.5" customHeight="1" hidden="1">
      <c r="A3079" s="407"/>
      <c r="C3079" s="151"/>
      <c r="D3079" s="446" t="s">
        <v>7</v>
      </c>
      <c r="E3079" s="446"/>
      <c r="F3079" s="446"/>
      <c r="G3079" s="446"/>
      <c r="H3079" s="446"/>
      <c r="I3079" s="29"/>
      <c r="J3079" s="80"/>
      <c r="K3079" s="29">
        <f>SUM(I3079:J3079)</f>
        <v>0</v>
      </c>
      <c r="L3079" s="80"/>
    </row>
    <row r="3080" spans="1:12" s="82" customFormat="1" ht="13.5" customHeight="1">
      <c r="A3080" s="407"/>
      <c r="C3080" s="151"/>
      <c r="D3080" s="447" t="s">
        <v>38</v>
      </c>
      <c r="E3080" s="447"/>
      <c r="F3080" s="447"/>
      <c r="G3080" s="447"/>
      <c r="H3080" s="447"/>
      <c r="I3080" s="253">
        <f>SUM(I3081:I3086)</f>
        <v>769294</v>
      </c>
      <c r="J3080" s="253">
        <f>SUM(J3081:J3086)</f>
        <v>0</v>
      </c>
      <c r="K3080" s="253">
        <f>SUM(K3081:K3086)</f>
        <v>769294</v>
      </c>
      <c r="L3080" s="80"/>
    </row>
    <row r="3081" spans="1:12" s="82" customFormat="1" ht="13.5" customHeight="1" hidden="1">
      <c r="A3081" s="407"/>
      <c r="C3081" s="151"/>
      <c r="D3081" s="446" t="s">
        <v>289</v>
      </c>
      <c r="E3081" s="446"/>
      <c r="F3081" s="446"/>
      <c r="G3081" s="446"/>
      <c r="H3081" s="446"/>
      <c r="I3081" s="29"/>
      <c r="J3081" s="80"/>
      <c r="K3081" s="29">
        <f aca="true" t="shared" si="207" ref="K3081:K3086">SUM(I3081:J3081)</f>
        <v>0</v>
      </c>
      <c r="L3081" s="80"/>
    </row>
    <row r="3082" spans="1:12" s="82" customFormat="1" ht="13.5" customHeight="1" hidden="1">
      <c r="A3082" s="407"/>
      <c r="C3082" s="151"/>
      <c r="D3082" s="444" t="s">
        <v>8</v>
      </c>
      <c r="E3082" s="448"/>
      <c r="F3082" s="448"/>
      <c r="G3082" s="448"/>
      <c r="H3082" s="448"/>
      <c r="I3082" s="29"/>
      <c r="J3082" s="80"/>
      <c r="K3082" s="29">
        <f t="shared" si="207"/>
        <v>0</v>
      </c>
      <c r="L3082" s="80"/>
    </row>
    <row r="3083" spans="1:12" s="82" customFormat="1" ht="13.5" customHeight="1" hidden="1">
      <c r="A3083" s="407"/>
      <c r="C3083" s="151"/>
      <c r="D3083" s="444" t="s">
        <v>10</v>
      </c>
      <c r="E3083" s="444"/>
      <c r="F3083" s="444"/>
      <c r="G3083" s="444"/>
      <c r="H3083" s="444"/>
      <c r="I3083" s="29"/>
      <c r="J3083" s="80"/>
      <c r="K3083" s="29">
        <f t="shared" si="207"/>
        <v>0</v>
      </c>
      <c r="L3083" s="80"/>
    </row>
    <row r="3084" spans="1:12" s="82" customFormat="1" ht="13.5" customHeight="1" hidden="1">
      <c r="A3084" s="407"/>
      <c r="C3084" s="151"/>
      <c r="D3084" s="444" t="s">
        <v>9</v>
      </c>
      <c r="E3084" s="444"/>
      <c r="F3084" s="444"/>
      <c r="G3084" s="444"/>
      <c r="H3084" s="444"/>
      <c r="I3084" s="29"/>
      <c r="J3084" s="80"/>
      <c r="K3084" s="29">
        <f t="shared" si="207"/>
        <v>0</v>
      </c>
      <c r="L3084" s="80"/>
    </row>
    <row r="3085" spans="1:12" s="82" customFormat="1" ht="13.5" customHeight="1" hidden="1">
      <c r="A3085" s="407"/>
      <c r="C3085" s="151"/>
      <c r="D3085" s="444" t="s">
        <v>11</v>
      </c>
      <c r="E3085" s="444"/>
      <c r="F3085" s="444"/>
      <c r="G3085" s="444"/>
      <c r="H3085" s="444"/>
      <c r="I3085" s="29"/>
      <c r="J3085" s="80"/>
      <c r="K3085" s="29">
        <f t="shared" si="207"/>
        <v>0</v>
      </c>
      <c r="L3085" s="80"/>
    </row>
    <row r="3086" spans="1:12" s="82" customFormat="1" ht="13.5" customHeight="1">
      <c r="A3086" s="407"/>
      <c r="C3086" s="151"/>
      <c r="D3086" s="444" t="s">
        <v>12</v>
      </c>
      <c r="E3086" s="444"/>
      <c r="F3086" s="444"/>
      <c r="G3086" s="444"/>
      <c r="H3086" s="444"/>
      <c r="I3086" s="29">
        <v>769294</v>
      </c>
      <c r="J3086" s="80"/>
      <c r="K3086" s="29">
        <f t="shared" si="207"/>
        <v>769294</v>
      </c>
      <c r="L3086" s="80"/>
    </row>
    <row r="3087" spans="1:12" s="82" customFormat="1" ht="13.5" customHeight="1">
      <c r="A3087" s="407"/>
      <c r="C3087" s="151"/>
      <c r="D3087" s="445" t="s">
        <v>277</v>
      </c>
      <c r="E3087" s="445"/>
      <c r="F3087" s="445"/>
      <c r="G3087" s="445"/>
      <c r="H3087" s="445"/>
      <c r="I3087" s="77">
        <f>I3076-I3080</f>
        <v>0</v>
      </c>
      <c r="J3087" s="77">
        <f>J3076-J3080</f>
        <v>0</v>
      </c>
      <c r="K3087" s="77">
        <f>K3076-K3080</f>
        <v>0</v>
      </c>
      <c r="L3087" s="80"/>
    </row>
    <row r="3088" spans="1:12" s="82" customFormat="1" ht="12" customHeight="1">
      <c r="A3088" s="407"/>
      <c r="C3088" s="151"/>
      <c r="D3088" s="444" t="s">
        <v>279</v>
      </c>
      <c r="E3088" s="444"/>
      <c r="F3088" s="444"/>
      <c r="G3088" s="444"/>
      <c r="H3088" s="444"/>
      <c r="I3088" s="29">
        <f>I3089+I3090+I3091</f>
        <v>0</v>
      </c>
      <c r="J3088" s="29">
        <f>J3089+J3090+J3091</f>
        <v>0</v>
      </c>
      <c r="K3088" s="29">
        <f>K3089+K3090+K3091</f>
        <v>0</v>
      </c>
      <c r="L3088" s="80"/>
    </row>
    <row r="3089" spans="1:12" s="82" customFormat="1" ht="13.5" customHeight="1" hidden="1">
      <c r="A3089" s="407"/>
      <c r="C3089" s="151"/>
      <c r="D3089" s="444" t="s">
        <v>278</v>
      </c>
      <c r="E3089" s="444"/>
      <c r="F3089" s="444"/>
      <c r="G3089" s="444"/>
      <c r="H3089" s="444"/>
      <c r="I3089" s="29"/>
      <c r="J3089" s="77"/>
      <c r="K3089" s="80">
        <f>SUM(I3089:J3089)</f>
        <v>0</v>
      </c>
      <c r="L3089" s="80"/>
    </row>
    <row r="3090" spans="1:12" s="82" customFormat="1" ht="13.5" customHeight="1" hidden="1">
      <c r="A3090" s="407"/>
      <c r="C3090" s="151"/>
      <c r="D3090" s="444" t="s">
        <v>280</v>
      </c>
      <c r="E3090" s="444"/>
      <c r="F3090" s="444"/>
      <c r="G3090" s="444"/>
      <c r="H3090" s="444"/>
      <c r="I3090" s="29"/>
      <c r="J3090" s="77"/>
      <c r="K3090" s="80">
        <f>SUM(I3090:J3090)</f>
        <v>0</v>
      </c>
      <c r="L3090" s="80"/>
    </row>
    <row r="3091" spans="1:12" s="82" customFormat="1" ht="13.5" customHeight="1" hidden="1">
      <c r="A3091" s="407"/>
      <c r="C3091" s="151"/>
      <c r="D3091" s="444" t="s">
        <v>281</v>
      </c>
      <c r="E3091" s="444"/>
      <c r="F3091" s="444"/>
      <c r="G3091" s="444"/>
      <c r="H3091" s="444"/>
      <c r="I3091" s="29"/>
      <c r="J3091" s="77"/>
      <c r="K3091" s="80">
        <f>SUM(I3091:J3091)</f>
        <v>0</v>
      </c>
      <c r="L3091" s="80"/>
    </row>
    <row r="3092" spans="1:12" s="82" customFormat="1" ht="2.25" customHeight="1">
      <c r="A3092" s="407"/>
      <c r="C3092" s="151"/>
      <c r="D3092" s="86"/>
      <c r="E3092" s="86"/>
      <c r="F3092" s="86"/>
      <c r="G3092" s="86"/>
      <c r="H3092" s="86"/>
      <c r="I3092" s="77"/>
      <c r="J3092" s="80"/>
      <c r="K3092" s="77"/>
      <c r="L3092" s="80"/>
    </row>
    <row r="3093" spans="1:13" s="6" customFormat="1" ht="21.75" customHeight="1">
      <c r="A3093" s="409">
        <f>'2.pielikums'!J44-'3.pielik.'!K3093</f>
        <v>0</v>
      </c>
      <c r="C3093" s="431" t="s">
        <v>120</v>
      </c>
      <c r="D3093" s="431"/>
      <c r="E3093" s="431"/>
      <c r="F3093" s="431"/>
      <c r="G3093" s="431"/>
      <c r="H3093" s="431"/>
      <c r="I3093" s="134">
        <f>I9+I242+I339+I603+I752+I1049+I1088+I2028+I2851</f>
        <v>64350137</v>
      </c>
      <c r="J3093" s="134">
        <f>J9+J242+J339+J603+J752+J1049+J1088+J2028+J2851</f>
        <v>2485023</v>
      </c>
      <c r="K3093" s="134">
        <f>K9+K242+K339+K603+K752+K1049+K1088+K2028+K2851</f>
        <v>66835160</v>
      </c>
      <c r="L3093" s="93"/>
      <c r="M3093" s="91"/>
    </row>
    <row r="3094" spans="1:13" s="6" customFormat="1" ht="13.5" customHeight="1" hidden="1">
      <c r="A3094" s="407"/>
      <c r="C3094" s="165"/>
      <c r="D3094" s="113"/>
      <c r="E3094" s="113"/>
      <c r="F3094" s="113"/>
      <c r="G3094" s="113"/>
      <c r="H3094" s="113"/>
      <c r="I3094" s="77">
        <f>I3093-I3101</f>
        <v>0</v>
      </c>
      <c r="J3094" s="77"/>
      <c r="K3094" s="77"/>
      <c r="L3094" s="93"/>
      <c r="M3094" s="91"/>
    </row>
    <row r="3095" spans="1:13" s="6" customFormat="1" ht="24" customHeight="1">
      <c r="A3095" s="407"/>
      <c r="C3095" s="165"/>
      <c r="D3095" s="113"/>
      <c r="E3095" s="113"/>
      <c r="F3095" s="113"/>
      <c r="G3095" s="113"/>
      <c r="H3095" s="113"/>
      <c r="I3095" s="77"/>
      <c r="J3095" s="77"/>
      <c r="K3095" s="77"/>
      <c r="L3095" s="93"/>
      <c r="M3095" s="91"/>
    </row>
    <row r="3096" spans="1:13" s="6" customFormat="1" ht="12.75" customHeight="1">
      <c r="A3096" s="407"/>
      <c r="C3096" s="165"/>
      <c r="D3096" s="432" t="s">
        <v>514</v>
      </c>
      <c r="E3096" s="432"/>
      <c r="F3096" s="432"/>
      <c r="G3096" s="432"/>
      <c r="H3096" s="432"/>
      <c r="I3096" s="77"/>
      <c r="J3096" s="77"/>
      <c r="K3096" s="77"/>
      <c r="L3096" s="93"/>
      <c r="M3096" s="91"/>
    </row>
    <row r="3097" spans="1:13" s="6" customFormat="1" ht="2.25" customHeight="1" hidden="1">
      <c r="A3097" s="407"/>
      <c r="C3097" s="165"/>
      <c r="D3097" s="447" t="s">
        <v>37</v>
      </c>
      <c r="E3097" s="447"/>
      <c r="F3097" s="447"/>
      <c r="G3097" s="447"/>
      <c r="H3097" s="447"/>
      <c r="I3097" s="77">
        <f>SUM(I3098:I3100)</f>
        <v>48634873</v>
      </c>
      <c r="J3097" s="77">
        <f>SUM(J3098:J3100)</f>
        <v>2485023</v>
      </c>
      <c r="K3097" s="77">
        <f>SUM(K3098:K3100)</f>
        <v>51119896</v>
      </c>
      <c r="L3097" s="93"/>
      <c r="M3097" s="93"/>
    </row>
    <row r="3098" spans="1:13" s="6" customFormat="1" ht="12.75" customHeight="1" hidden="1">
      <c r="A3098" s="407"/>
      <c r="C3098" s="165"/>
      <c r="D3098" s="446" t="s">
        <v>5</v>
      </c>
      <c r="E3098" s="446"/>
      <c r="F3098" s="446"/>
      <c r="G3098" s="446"/>
      <c r="H3098" s="446"/>
      <c r="I3098" s="29">
        <f>I13+I86+I105+I129+I148+I167+I186+I208+I226+I246+I265+I284+I303+I322+I343+I491+I510+I529+I548+I567+I586+I607+I717+I736+I756+I884+I903+I922+I995+I1014+I1033+I1053+I1072+I1092+I1165+I1184+I1203+I1259+I1332+I1440+I1495+I1513+I1532+I1551+I1570+I1589+I1608+I1627+I1665+I1702+I1759+I1851+I2032+I2538+I2611+I2666+I2721+I2740+I2778+I2797+I2816+I2835+I2855+I3000+I3019+I3038+I3057+I3077+I2759+I977+I418+I662+I811+I1646+I1924+I1683+I940+I1940+I958</f>
        <v>27184246</v>
      </c>
      <c r="J3098" s="29">
        <f aca="true" t="shared" si="208" ref="I3098:K3100">J13+J86+J105+J129+J148+J167+J186+J208+J226+J246+J265+J284+J303+J322+J343+J491+J510+J529+J548+J567+J586+J607+J717+J736+J756+J884+J903+J922+J995+J1014+J1033+J1053+J1072+J1092+J1165+J1184+J1203+J1259+J1332+J1440+J1495+J1513+J1532+J1551+J1570+J1589+J1608+J1627+J1665+J1702+J1759+J1851+J2032+J2538+J2611+J2666+J2721+J2740+J2778+J2797+J2816+J2835+J2855+J3000+J3019+J3038+J3057+J3077+J2759+J977+J418+J662+J811+J1646+J1924+J1683+J940+J1940+J958</f>
        <v>1106890</v>
      </c>
      <c r="K3098" s="29">
        <f t="shared" si="208"/>
        <v>28291136</v>
      </c>
      <c r="L3098" s="29"/>
      <c r="M3098" s="91"/>
    </row>
    <row r="3099" spans="1:13" s="6" customFormat="1" ht="12.75" customHeight="1" hidden="1">
      <c r="A3099" s="407"/>
      <c r="C3099" s="165"/>
      <c r="D3099" s="446" t="s">
        <v>6</v>
      </c>
      <c r="E3099" s="446"/>
      <c r="F3099" s="446"/>
      <c r="G3099" s="446"/>
      <c r="H3099" s="446"/>
      <c r="I3099" s="29">
        <f>I14+I87+I106+I130+I149+I168+I187+I209+I227+I247+I266+I285+I304+I323+I344+I492+I511+I530+I549+I568+I587+I608+I718+I737+I757+I885+I904+I923+I996+I1015+I1034+I1054+I1073+I1093+I1166+I1185+I1204+I1260+I1333+I1441+I1496+I1514+I1533+I1552+I1571+I1590+I1609+I1628+I1666+I1703+I1760+I1852+I2033+I2539+I2612+I2667+I2722+I2741+I2779+I2798+I2817+I2836+I2856+I3001+I3020+I3039+I3058+I3078+I2760+I978+I419+I663+I812+I1647+I1925+I1684+I941+I1941+I959</f>
        <v>2484152</v>
      </c>
      <c r="J3099" s="29">
        <f t="shared" si="208"/>
        <v>18958</v>
      </c>
      <c r="K3099" s="29">
        <f t="shared" si="208"/>
        <v>2503110</v>
      </c>
      <c r="L3099" s="93"/>
      <c r="M3099" s="91"/>
    </row>
    <row r="3100" spans="1:13" s="6" customFormat="1" ht="12.75" customHeight="1" hidden="1">
      <c r="A3100" s="407"/>
      <c r="C3100" s="165"/>
      <c r="D3100" s="446" t="s">
        <v>7</v>
      </c>
      <c r="E3100" s="446"/>
      <c r="F3100" s="446"/>
      <c r="G3100" s="446"/>
      <c r="H3100" s="446"/>
      <c r="I3100" s="29">
        <f t="shared" si="208"/>
        <v>18966475</v>
      </c>
      <c r="J3100" s="29">
        <f t="shared" si="208"/>
        <v>1359175</v>
      </c>
      <c r="K3100" s="29">
        <f t="shared" si="208"/>
        <v>20325650</v>
      </c>
      <c r="L3100" s="93"/>
      <c r="M3100" s="91"/>
    </row>
    <row r="3101" spans="1:13" s="6" customFormat="1" ht="12.75" customHeight="1">
      <c r="A3101" s="407"/>
      <c r="C3101" s="165"/>
      <c r="D3101" s="430" t="s">
        <v>38</v>
      </c>
      <c r="E3101" s="430"/>
      <c r="F3101" s="430"/>
      <c r="G3101" s="430"/>
      <c r="H3101" s="430"/>
      <c r="I3101" s="264">
        <f>SUM(I3102:I3108)</f>
        <v>64350137</v>
      </c>
      <c r="J3101" s="264">
        <f>SUM(J3102:J3108)</f>
        <v>2485023</v>
      </c>
      <c r="K3101" s="264">
        <f>SUM(K3102:K3108)</f>
        <v>66835160</v>
      </c>
      <c r="L3101" s="93"/>
      <c r="M3101" s="91"/>
    </row>
    <row r="3102" spans="1:13" s="6" customFormat="1" ht="12.75" customHeight="1">
      <c r="A3102" s="407"/>
      <c r="C3102" s="165"/>
      <c r="D3102" s="446" t="s">
        <v>289</v>
      </c>
      <c r="E3102" s="446"/>
      <c r="F3102" s="446"/>
      <c r="G3102" s="446"/>
      <c r="H3102" s="446"/>
      <c r="I3102" s="29">
        <f>I17+I90+I114+I133+I152+I171+I190+I212+I230+I250+I269+I288+I307+I326+I347+I495+I514+I533+I552+I571+I590+I611+I721+I740+I760+I888+I907+I926+I999+I1018+I1037+I1057+I1076+I1096+I1169+I1188+I1207+I1263+I1336+I1444+I1499+I1517+I1536+I1555+I1574+I1593+I1612+I1631+I1669+I1706+I1763+I1855+I2036+I2542+I2615+I2670+I2725+I2744+I2782+I2801+I2820+I2839+I2859+I3004+I3023+I3042+I3061+I3081+I2763+I981+I422+I666+I815+I1650+I1928+I1687+I944+I1944+I962</f>
        <v>17966790</v>
      </c>
      <c r="J3102" s="29">
        <f aca="true" t="shared" si="209" ref="I3102:K3107">J17+J90+J114+J133+J152+J171+J190+J212+J230+J250+J269+J288+J307+J326+J347+J495+J514+J533+J552+J571+J590+J611+J721+J740+J760+J888+J907+J926+J999+J1018+J1037+J1057+J1076+J1096+J1169+J1188+J1207+J1263+J1336+J1444+J1499+J1517+J1536+J1555+J1574+J1593+J1612+J1631+J1669+J1706+J1763+J1855+J2036+J2542+J2615+J2670+J2725+J2744+J2782+J2801+J2820+J2839+J2859+J3004+J3023+J3042+J3061+J3081+J2763+J981+J422+J666+J815+J1650+J1928+J1687+J944+J1944+J962</f>
        <v>1771877</v>
      </c>
      <c r="K3102" s="29">
        <f t="shared" si="209"/>
        <v>19738667</v>
      </c>
      <c r="L3102" s="93"/>
      <c r="M3102" s="91"/>
    </row>
    <row r="3103" spans="1:13" s="6" customFormat="1" ht="14.25" customHeight="1">
      <c r="A3103" s="407"/>
      <c r="C3103" s="165"/>
      <c r="D3103" s="444" t="s">
        <v>8</v>
      </c>
      <c r="E3103" s="448"/>
      <c r="F3103" s="448"/>
      <c r="G3103" s="448"/>
      <c r="H3103" s="448"/>
      <c r="I3103" s="29">
        <f t="shared" si="209"/>
        <v>11361306</v>
      </c>
      <c r="J3103" s="29">
        <f t="shared" si="209"/>
        <v>421356</v>
      </c>
      <c r="K3103" s="29">
        <f t="shared" si="209"/>
        <v>11782662</v>
      </c>
      <c r="L3103" s="93"/>
      <c r="M3103" s="91"/>
    </row>
    <row r="3104" spans="1:13" s="6" customFormat="1" ht="14.25" customHeight="1">
      <c r="A3104" s="407"/>
      <c r="C3104" s="165"/>
      <c r="D3104" s="444" t="s">
        <v>10</v>
      </c>
      <c r="E3104" s="444"/>
      <c r="F3104" s="444"/>
      <c r="G3104" s="444"/>
      <c r="H3104" s="444"/>
      <c r="I3104" s="29">
        <f t="shared" si="209"/>
        <v>1250942</v>
      </c>
      <c r="J3104" s="29">
        <f t="shared" si="209"/>
        <v>65550</v>
      </c>
      <c r="K3104" s="29">
        <f t="shared" si="209"/>
        <v>1316492</v>
      </c>
      <c r="L3104" s="93"/>
      <c r="M3104" s="91"/>
    </row>
    <row r="3105" spans="1:13" s="6" customFormat="1" ht="14.25" customHeight="1">
      <c r="A3105" s="407"/>
      <c r="C3105" s="165"/>
      <c r="D3105" s="444" t="s">
        <v>9</v>
      </c>
      <c r="E3105" s="444"/>
      <c r="F3105" s="444"/>
      <c r="G3105" s="444"/>
      <c r="H3105" s="444"/>
      <c r="I3105" s="29">
        <f t="shared" si="209"/>
        <v>1260926</v>
      </c>
      <c r="J3105" s="29">
        <f t="shared" si="209"/>
        <v>0</v>
      </c>
      <c r="K3105" s="29">
        <f t="shared" si="209"/>
        <v>1260926</v>
      </c>
      <c r="L3105" s="93"/>
      <c r="M3105" s="91"/>
    </row>
    <row r="3106" spans="1:13" s="6" customFormat="1" ht="14.25" customHeight="1">
      <c r="A3106" s="407"/>
      <c r="C3106" s="165"/>
      <c r="D3106" s="444" t="s">
        <v>11</v>
      </c>
      <c r="E3106" s="444"/>
      <c r="F3106" s="444"/>
      <c r="G3106" s="444"/>
      <c r="H3106" s="444"/>
      <c r="I3106" s="29">
        <f t="shared" si="209"/>
        <v>27681166</v>
      </c>
      <c r="J3106" s="29">
        <f t="shared" si="209"/>
        <v>19489</v>
      </c>
      <c r="K3106" s="29">
        <f t="shared" si="209"/>
        <v>27700655</v>
      </c>
      <c r="L3106" s="93"/>
      <c r="M3106" s="91"/>
    </row>
    <row r="3107" spans="1:13" s="6" customFormat="1" ht="14.25" customHeight="1">
      <c r="A3107" s="407"/>
      <c r="C3107" s="165"/>
      <c r="D3107" s="444" t="s">
        <v>12</v>
      </c>
      <c r="E3107" s="444"/>
      <c r="F3107" s="444"/>
      <c r="G3107" s="444"/>
      <c r="H3107" s="444"/>
      <c r="I3107" s="29">
        <f t="shared" si="209"/>
        <v>4527238</v>
      </c>
      <c r="J3107" s="29">
        <f t="shared" si="209"/>
        <v>206751</v>
      </c>
      <c r="K3107" s="29">
        <f t="shared" si="209"/>
        <v>4733989</v>
      </c>
      <c r="L3107" s="93"/>
      <c r="M3107" s="91"/>
    </row>
    <row r="3108" spans="1:13" s="6" customFormat="1" ht="14.25" customHeight="1">
      <c r="A3108" s="407"/>
      <c r="C3108" s="165"/>
      <c r="D3108" s="444" t="s">
        <v>236</v>
      </c>
      <c r="E3108" s="444"/>
      <c r="F3108" s="444"/>
      <c r="G3108" s="444"/>
      <c r="H3108" s="444"/>
      <c r="I3108" s="29">
        <f>I196+I1712</f>
        <v>301769</v>
      </c>
      <c r="J3108" s="29">
        <f>J196+J1712</f>
        <v>0</v>
      </c>
      <c r="K3108" s="29">
        <f>SUM(I3108:J3108)</f>
        <v>301769</v>
      </c>
      <c r="L3108" s="93"/>
      <c r="M3108" s="91"/>
    </row>
    <row r="3109" spans="1:13" s="6" customFormat="1" ht="13.5" customHeight="1" hidden="1">
      <c r="A3109" s="407"/>
      <c r="C3109" s="165"/>
      <c r="D3109" s="445" t="s">
        <v>277</v>
      </c>
      <c r="E3109" s="445"/>
      <c r="F3109" s="445"/>
      <c r="G3109" s="445"/>
      <c r="H3109" s="445"/>
      <c r="I3109" s="77">
        <f>I3097-I3101</f>
        <v>-15715264</v>
      </c>
      <c r="J3109" s="77">
        <f>J3097-J3101</f>
        <v>0</v>
      </c>
      <c r="K3109" s="77">
        <f>K3097-K3101</f>
        <v>-15715264</v>
      </c>
      <c r="L3109" s="93"/>
      <c r="M3109" s="93"/>
    </row>
    <row r="3110" spans="1:13" s="6" customFormat="1" ht="13.5" customHeight="1" hidden="1">
      <c r="A3110" s="407"/>
      <c r="C3110" s="165"/>
      <c r="D3110" s="444" t="s">
        <v>279</v>
      </c>
      <c r="E3110" s="444"/>
      <c r="F3110" s="444"/>
      <c r="G3110" s="444"/>
      <c r="H3110" s="444"/>
      <c r="I3110" s="29" t="e">
        <f>I3111+I3112+I3113</f>
        <v>#REF!</v>
      </c>
      <c r="J3110" s="29" t="e">
        <f>J3111+J3112+J3113</f>
        <v>#REF!</v>
      </c>
      <c r="K3110" s="29" t="e">
        <f>K3111+K3112+K3113</f>
        <v>#REF!</v>
      </c>
      <c r="L3110" s="93"/>
      <c r="M3110" s="91"/>
    </row>
    <row r="3111" spans="1:13" s="6" customFormat="1" ht="13.5" customHeight="1" hidden="1">
      <c r="A3111" s="407"/>
      <c r="C3111" s="165"/>
      <c r="D3111" s="444" t="s">
        <v>278</v>
      </c>
      <c r="E3111" s="444"/>
      <c r="F3111" s="444"/>
      <c r="G3111" s="444"/>
      <c r="H3111" s="444"/>
      <c r="I3111" s="29" t="e">
        <f>I25+I98+I122+I141+I160+I179+I199+I220+I238+I258+I277+I296+I315+I334+I355+I503+I522+I541+I560+I579+I598+I619+I729+I748+I768+#REF!+I896+I915+I934+I1007+I1026+I1045+I1065+I1084+I1104+I1177+I1196+I1215+I1271+I1344+I1452+I1507+I1525+I1544+I1563+I1582+I1601+I1620+I1639+I1677+I1715+I1771+I1863+I2044+I2550+I2623+I2678+I2733+I2752+I2790+I2809+I2828+I2847+I2867+I3012+I3031+I3050+I3069+I3089</f>
        <v>#REF!</v>
      </c>
      <c r="J3111" s="29" t="e">
        <f>J25+J98+J122+J141+J160+J179+J199+J220+J238+J258+J277+J296+J315+J334+J355+J503+J522+J541+J560+J579+J598+J619+J729+J748+J768+#REF!+J896+J915+J934+J1007+J1026+J1045+J1065+J1084+J1104+J1177+J1196+J1215+J1271+J1344+J1452+J1507+J1525+J1544+J1563+J1582+J1601+J1620+J1639+J1677+J1715+J1771+J1863+J2044+J2550+J2623+J2678+J2733+J2752+J2790+J2809+J2828+J2847+J2867+J3012+J3031+J3050+J3069+J3089</f>
        <v>#REF!</v>
      </c>
      <c r="K3111" s="29" t="e">
        <f>SUM(I3111:J3111)</f>
        <v>#REF!</v>
      </c>
      <c r="L3111" s="93"/>
      <c r="M3111" s="93"/>
    </row>
    <row r="3112" spans="1:13" s="6" customFormat="1" ht="13.5" customHeight="1" hidden="1">
      <c r="A3112" s="407"/>
      <c r="C3112" s="165"/>
      <c r="D3112" s="444" t="s">
        <v>280</v>
      </c>
      <c r="E3112" s="444"/>
      <c r="F3112" s="444"/>
      <c r="G3112" s="444"/>
      <c r="H3112" s="444"/>
      <c r="I3112" s="29" t="e">
        <f>I26+I99+I123+I142+I161+I180+I200+I221+I239+I259+I278+I297+I316+I335+I356+I504+I523+I542+I561+I580+I599+I620+I730+I749+I769+#REF!+I897+I916+I935+I1008+I1027+I1046+I1066+I1085+I1105+I1178+I1197+I1216+I1272+I1345+I1453+I1508+I1526+I1545+I1564+I1583+I1602+I1621+I1640+I1678+I1716+I1772+I1864+I2045+I2551+I2624+I2679+I2734+I2753+I2791+I2810+I2829+I2848+I2868+I3013+I3032+I3051+I3070+I3090</f>
        <v>#REF!</v>
      </c>
      <c r="J3112" s="29" t="e">
        <f>J26+J99+J123+J142+J161+J180+J200+J221+J239+J259+J278+J297+J316+J335+J356+J504+J523+J542+J561+J580+J599+J620+J730+J749+J769+#REF!+J897+J916+J935+J1008+J1027+J1046+J1066+J1085+J1105+J1178+J1197+J1216+J1272+J1345+J1453+J1508+J1526+J1545+J1564+J1583+J1602+J1621+J1640+J1678+J1716+J1772+J1864+J2045+J2551+J2624+J2679+J2734+J2753+J2791+J2810+J2829+J2848+J2868+J3013+J3032+J3051+J3070+J3090</f>
        <v>#REF!</v>
      </c>
      <c r="K3112" s="29" t="e">
        <f>SUM(I3112:J3112)</f>
        <v>#REF!</v>
      </c>
      <c r="L3112" s="93"/>
      <c r="M3112" s="91"/>
    </row>
    <row r="3113" spans="1:13" s="6" customFormat="1" ht="13.5" customHeight="1" hidden="1">
      <c r="A3113" s="407"/>
      <c r="C3113" s="165"/>
      <c r="D3113" s="444" t="s">
        <v>281</v>
      </c>
      <c r="E3113" s="444"/>
      <c r="F3113" s="444"/>
      <c r="G3113" s="444"/>
      <c r="H3113" s="444"/>
      <c r="I3113" s="29" t="e">
        <f>I27+I100+I124+I143+I162+I181+I201+I222+I240+I260+I279+I298+I317+I336+I357+I505+I524+I543+I562+I581+I600+I621+I731+I750+I770+#REF!+I898+I917+I936+I1009+I1028+I1047+I1067+I1086+I1106+I1179+I1198+I1217+I1273+I1346+I1454+I1509+I1527+I1546+I1565+I1584+I1603+I1622+I1641+I1679+I1717+I1773+I1865+I2046+I2552+I2625+I2680+I2735+I2754+I2792+I2811+I2830+I2849+I2869+I3014+I3033+I3052+I3071+I3091</f>
        <v>#REF!</v>
      </c>
      <c r="J3113" s="29" t="e">
        <f>J27+J100+J124+J143+J162+J181+J201+J222+J240+J260+J279+J298+J317+J336+J357+J505+J524+J543+J562+J581+J600+J621+J731+J750+J770+#REF!+J898+J917+J936+J1009+J1028+J1047+J1067+J1086+J1106+J1179+J1198+J1217+J1273+J1346+J1454+J1509+J1527+J1546+J1565+J1584+J1603+J1622+J1641+J1679+J1717+J1773+J1865+J2046+J2552+J2625+J2680+J2735+J2754+J2792+J2811+J2830+J2849+J2869+J3014+J3033+J3052+J3071+J3091</f>
        <v>#REF!</v>
      </c>
      <c r="K3113" s="29" t="e">
        <f>SUM(I3113:J3113)</f>
        <v>#REF!</v>
      </c>
      <c r="L3113" s="93"/>
      <c r="M3113" s="93"/>
    </row>
    <row r="3114" spans="1:13" s="6" customFormat="1" ht="27.75" customHeight="1">
      <c r="A3114" s="407"/>
      <c r="C3114" s="165"/>
      <c r="D3114" s="113"/>
      <c r="E3114" s="113"/>
      <c r="F3114" s="113"/>
      <c r="G3114" s="113"/>
      <c r="H3114" s="113"/>
      <c r="I3114" s="77"/>
      <c r="J3114" s="77"/>
      <c r="K3114" s="77"/>
      <c r="L3114" s="93"/>
      <c r="M3114" s="91"/>
    </row>
    <row r="3115" spans="1:13" s="6" customFormat="1" ht="13.5" customHeight="1" hidden="1">
      <c r="A3115" s="407"/>
      <c r="C3115" s="165"/>
      <c r="D3115" s="113"/>
      <c r="E3115" s="113"/>
      <c r="F3115" s="113"/>
      <c r="G3115" s="113"/>
      <c r="H3115" s="113"/>
      <c r="I3115" s="77"/>
      <c r="J3115" s="77"/>
      <c r="K3115" s="77"/>
      <c r="L3115" s="93"/>
      <c r="M3115" s="91"/>
    </row>
    <row r="3116" spans="1:13" s="6" customFormat="1" ht="3" customHeight="1" hidden="1">
      <c r="A3116" s="407"/>
      <c r="C3116" s="165"/>
      <c r="D3116" s="113"/>
      <c r="E3116" s="113"/>
      <c r="F3116" s="113"/>
      <c r="G3116" s="113"/>
      <c r="H3116" s="113"/>
      <c r="I3116" s="77"/>
      <c r="J3116" s="77"/>
      <c r="K3116" s="77"/>
      <c r="L3116" s="93"/>
      <c r="M3116" s="91"/>
    </row>
    <row r="3117" spans="1:12" s="82" customFormat="1" ht="13.5" customHeight="1">
      <c r="A3117" s="407"/>
      <c r="C3117" s="421" t="s">
        <v>568</v>
      </c>
      <c r="D3117" s="422"/>
      <c r="E3117" s="422"/>
      <c r="F3117" s="423"/>
      <c r="G3117" s="257"/>
      <c r="I3117" s="77">
        <f>SUM(I3118:I3141)</f>
        <v>327277</v>
      </c>
      <c r="J3117" s="77">
        <f>SUM(J3118:J3141)</f>
        <v>20000</v>
      </c>
      <c r="K3117" s="77">
        <f>SUM(K3118:K3141)</f>
        <v>347277</v>
      </c>
      <c r="L3117" s="80"/>
    </row>
    <row r="3118" spans="1:12" s="82" customFormat="1" ht="13.5" customHeight="1">
      <c r="A3118" s="407"/>
      <c r="C3118" s="163"/>
      <c r="D3118" s="82" t="s">
        <v>215</v>
      </c>
      <c r="G3118" s="29"/>
      <c r="I3118" s="29">
        <v>112817</v>
      </c>
      <c r="J3118" s="80">
        <v>20000</v>
      </c>
      <c r="K3118" s="80">
        <f>SUM(I3118:J3118)</f>
        <v>132817</v>
      </c>
      <c r="L3118" s="29"/>
    </row>
    <row r="3119" spans="1:12" s="82" customFormat="1" ht="13.5" customHeight="1">
      <c r="A3119" s="407"/>
      <c r="C3119" s="149"/>
      <c r="D3119" s="82" t="s">
        <v>216</v>
      </c>
      <c r="G3119" s="29"/>
      <c r="I3119" s="29">
        <v>64000</v>
      </c>
      <c r="J3119" s="80"/>
      <c r="K3119" s="80">
        <f aca="true" t="shared" si="210" ref="K3119:K3141">SUM(I3119:J3119)</f>
        <v>64000</v>
      </c>
      <c r="L3119" s="29"/>
    </row>
    <row r="3120" spans="1:12" s="82" customFormat="1" ht="13.5" customHeight="1">
      <c r="A3120" s="407"/>
      <c r="C3120" s="149"/>
      <c r="D3120" s="82" t="s">
        <v>15</v>
      </c>
      <c r="G3120" s="29"/>
      <c r="I3120" s="29">
        <v>37000</v>
      </c>
      <c r="J3120" s="80"/>
      <c r="K3120" s="80">
        <f t="shared" si="210"/>
        <v>37000</v>
      </c>
      <c r="L3120" s="29"/>
    </row>
    <row r="3121" spans="1:12" s="82" customFormat="1" ht="13.5" customHeight="1">
      <c r="A3121" s="407"/>
      <c r="C3121" s="149"/>
      <c r="D3121" s="82" t="s">
        <v>14</v>
      </c>
      <c r="G3121" s="29"/>
      <c r="I3121" s="29">
        <v>10000</v>
      </c>
      <c r="J3121" s="80"/>
      <c r="K3121" s="80">
        <f t="shared" si="210"/>
        <v>10000</v>
      </c>
      <c r="L3121" s="29"/>
    </row>
    <row r="3122" spans="1:12" s="82" customFormat="1" ht="13.5" customHeight="1">
      <c r="A3122" s="407"/>
      <c r="C3122" s="149"/>
      <c r="D3122" s="82" t="s">
        <v>307</v>
      </c>
      <c r="G3122" s="29"/>
      <c r="I3122" s="29">
        <v>55000</v>
      </c>
      <c r="J3122" s="80"/>
      <c r="K3122" s="80">
        <f t="shared" si="210"/>
        <v>55000</v>
      </c>
      <c r="L3122" s="29"/>
    </row>
    <row r="3123" spans="1:12" s="82" customFormat="1" ht="13.5" customHeight="1">
      <c r="A3123" s="407"/>
      <c r="C3123" s="149"/>
      <c r="D3123" s="82" t="s">
        <v>16</v>
      </c>
      <c r="G3123" s="29"/>
      <c r="I3123" s="29">
        <v>11000</v>
      </c>
      <c r="J3123" s="80"/>
      <c r="K3123" s="80">
        <f t="shared" si="210"/>
        <v>11000</v>
      </c>
      <c r="L3123" s="29"/>
    </row>
    <row r="3124" spans="1:12" s="82" customFormat="1" ht="13.5" customHeight="1">
      <c r="A3124" s="407"/>
      <c r="C3124" s="149"/>
      <c r="D3124" s="82" t="s">
        <v>17</v>
      </c>
      <c r="G3124" s="29"/>
      <c r="I3124" s="29">
        <v>1840</v>
      </c>
      <c r="J3124" s="80"/>
      <c r="K3124" s="80">
        <f t="shared" si="210"/>
        <v>1840</v>
      </c>
      <c r="L3124" s="29"/>
    </row>
    <row r="3125" spans="1:12" s="82" customFormat="1" ht="13.5" customHeight="1">
      <c r="A3125" s="407"/>
      <c r="C3125" s="149"/>
      <c r="D3125" s="82" t="s">
        <v>18</v>
      </c>
      <c r="G3125" s="29"/>
      <c r="I3125" s="29">
        <v>1890</v>
      </c>
      <c r="J3125" s="80"/>
      <c r="K3125" s="80">
        <f t="shared" si="210"/>
        <v>1890</v>
      </c>
      <c r="L3125" s="29"/>
    </row>
    <row r="3126" spans="1:12" s="82" customFormat="1" ht="13.5" customHeight="1">
      <c r="A3126" s="407"/>
      <c r="C3126" s="149"/>
      <c r="D3126" s="82" t="s">
        <v>19</v>
      </c>
      <c r="G3126" s="29"/>
      <c r="I3126" s="29">
        <v>1890</v>
      </c>
      <c r="J3126" s="80"/>
      <c r="K3126" s="80">
        <f t="shared" si="210"/>
        <v>1890</v>
      </c>
      <c r="L3126" s="29"/>
    </row>
    <row r="3127" spans="1:12" s="82" customFormat="1" ht="13.5" customHeight="1">
      <c r="A3127" s="407"/>
      <c r="C3127" s="149"/>
      <c r="D3127" s="82" t="s">
        <v>20</v>
      </c>
      <c r="G3127" s="29"/>
      <c r="I3127" s="29">
        <v>4000</v>
      </c>
      <c r="J3127" s="80"/>
      <c r="K3127" s="80">
        <f t="shared" si="210"/>
        <v>4000</v>
      </c>
      <c r="L3127" s="29"/>
    </row>
    <row r="3128" spans="1:12" s="82" customFormat="1" ht="13.5" customHeight="1">
      <c r="A3128" s="407"/>
      <c r="C3128" s="149"/>
      <c r="D3128" s="82" t="s">
        <v>21</v>
      </c>
      <c r="G3128" s="29"/>
      <c r="I3128" s="29">
        <v>3500</v>
      </c>
      <c r="J3128" s="80"/>
      <c r="K3128" s="80">
        <f t="shared" si="210"/>
        <v>3500</v>
      </c>
      <c r="L3128" s="29"/>
    </row>
    <row r="3129" spans="1:12" s="82" customFormat="1" ht="13.5" customHeight="1">
      <c r="A3129" s="407"/>
      <c r="C3129" s="149"/>
      <c r="D3129" s="82" t="s">
        <v>32</v>
      </c>
      <c r="G3129" s="29"/>
      <c r="I3129" s="29">
        <v>1840</v>
      </c>
      <c r="J3129" s="80"/>
      <c r="K3129" s="80">
        <f t="shared" si="210"/>
        <v>1840</v>
      </c>
      <c r="L3129" s="29"/>
    </row>
    <row r="3130" spans="1:12" s="82" customFormat="1" ht="13.5" customHeight="1">
      <c r="A3130" s="407"/>
      <c r="C3130" s="149"/>
      <c r="D3130" s="455" t="s">
        <v>309</v>
      </c>
      <c r="E3130" s="456"/>
      <c r="F3130" s="456"/>
      <c r="G3130" s="456"/>
      <c r="I3130" s="29">
        <v>2000</v>
      </c>
      <c r="J3130" s="80"/>
      <c r="K3130" s="80">
        <f t="shared" si="210"/>
        <v>2000</v>
      </c>
      <c r="L3130" s="29"/>
    </row>
    <row r="3131" spans="1:12" s="82" customFormat="1" ht="13.5" customHeight="1">
      <c r="A3131" s="407"/>
      <c r="C3131" s="149"/>
      <c r="D3131" s="455" t="s">
        <v>418</v>
      </c>
      <c r="E3131" s="456"/>
      <c r="F3131" s="456"/>
      <c r="G3131" s="456"/>
      <c r="I3131" s="29">
        <v>1000</v>
      </c>
      <c r="J3131" s="80"/>
      <c r="K3131" s="80">
        <f t="shared" si="210"/>
        <v>1000</v>
      </c>
      <c r="L3131" s="29"/>
    </row>
    <row r="3132" spans="1:12" s="82" customFormat="1" ht="13.5" customHeight="1">
      <c r="A3132" s="407"/>
      <c r="C3132" s="149"/>
      <c r="D3132" s="455" t="s">
        <v>419</v>
      </c>
      <c r="E3132" s="456"/>
      <c r="F3132" s="456"/>
      <c r="G3132" s="456"/>
      <c r="I3132" s="29">
        <v>1000</v>
      </c>
      <c r="J3132" s="80"/>
      <c r="K3132" s="80">
        <f t="shared" si="210"/>
        <v>1000</v>
      </c>
      <c r="L3132" s="29"/>
    </row>
    <row r="3133" spans="1:12" s="82" customFormat="1" ht="13.5" customHeight="1">
      <c r="A3133" s="407"/>
      <c r="C3133" s="149"/>
      <c r="D3133" s="82" t="s">
        <v>315</v>
      </c>
      <c r="G3133" s="29"/>
      <c r="I3133" s="29">
        <v>2000</v>
      </c>
      <c r="J3133" s="80"/>
      <c r="K3133" s="80">
        <f>SUM(I3133:J3133)</f>
        <v>2000</v>
      </c>
      <c r="L3133" s="29"/>
    </row>
    <row r="3134" spans="1:12" s="82" customFormat="1" ht="13.5" customHeight="1">
      <c r="A3134" s="407"/>
      <c r="C3134" s="149"/>
      <c r="D3134" s="82" t="s">
        <v>27</v>
      </c>
      <c r="G3134" s="29"/>
      <c r="I3134" s="29">
        <v>2000</v>
      </c>
      <c r="J3134" s="80"/>
      <c r="K3134" s="80">
        <f t="shared" si="210"/>
        <v>2000</v>
      </c>
      <c r="L3134" s="29"/>
    </row>
    <row r="3135" spans="1:12" s="82" customFormat="1" ht="13.5" customHeight="1">
      <c r="A3135" s="407"/>
      <c r="C3135" s="149"/>
      <c r="D3135" s="82" t="s">
        <v>314</v>
      </c>
      <c r="G3135" s="29"/>
      <c r="I3135" s="29">
        <v>3000</v>
      </c>
      <c r="J3135" s="80"/>
      <c r="K3135" s="80">
        <f t="shared" si="210"/>
        <v>3000</v>
      </c>
      <c r="L3135" s="29"/>
    </row>
    <row r="3136" spans="1:12" s="82" customFormat="1" ht="13.5" customHeight="1">
      <c r="A3136" s="407"/>
      <c r="C3136" s="149"/>
      <c r="D3136" s="82" t="s">
        <v>308</v>
      </c>
      <c r="G3136" s="29"/>
      <c r="I3136" s="29">
        <v>1500</v>
      </c>
      <c r="J3136" s="80"/>
      <c r="K3136" s="80">
        <f t="shared" si="210"/>
        <v>1500</v>
      </c>
      <c r="L3136" s="29"/>
    </row>
    <row r="3137" spans="1:12" s="82" customFormat="1" ht="13.5" customHeight="1">
      <c r="A3137" s="407"/>
      <c r="C3137" s="149"/>
      <c r="D3137" s="82" t="s">
        <v>310</v>
      </c>
      <c r="G3137" s="29"/>
      <c r="I3137" s="29">
        <v>4000</v>
      </c>
      <c r="J3137" s="80"/>
      <c r="K3137" s="80">
        <f t="shared" si="210"/>
        <v>4000</v>
      </c>
      <c r="L3137" s="29"/>
    </row>
    <row r="3138" spans="1:12" s="82" customFormat="1" ht="13.5" customHeight="1">
      <c r="A3138" s="407"/>
      <c r="C3138" s="149"/>
      <c r="D3138" s="82" t="s">
        <v>311</v>
      </c>
      <c r="G3138" s="29"/>
      <c r="I3138" s="29">
        <v>1500</v>
      </c>
      <c r="J3138" s="80"/>
      <c r="K3138" s="80">
        <f t="shared" si="210"/>
        <v>1500</v>
      </c>
      <c r="L3138" s="29"/>
    </row>
    <row r="3139" spans="1:12" s="82" customFormat="1" ht="13.5" customHeight="1">
      <c r="A3139" s="407"/>
      <c r="C3139" s="149"/>
      <c r="D3139" s="82" t="s">
        <v>312</v>
      </c>
      <c r="G3139" s="29"/>
      <c r="I3139" s="29">
        <v>1000</v>
      </c>
      <c r="J3139" s="80"/>
      <c r="K3139" s="80">
        <f t="shared" si="210"/>
        <v>1000</v>
      </c>
      <c r="L3139" s="29"/>
    </row>
    <row r="3140" spans="1:12" s="82" customFormat="1" ht="13.5" customHeight="1">
      <c r="A3140" s="407"/>
      <c r="C3140" s="149"/>
      <c r="D3140" s="455" t="s">
        <v>313</v>
      </c>
      <c r="E3140" s="456"/>
      <c r="F3140" s="456"/>
      <c r="G3140" s="456"/>
      <c r="I3140" s="29">
        <v>1000</v>
      </c>
      <c r="J3140" s="80"/>
      <c r="K3140" s="80">
        <f t="shared" si="210"/>
        <v>1000</v>
      </c>
      <c r="L3140" s="29"/>
    </row>
    <row r="3141" spans="1:12" s="82" customFormat="1" ht="13.5" customHeight="1">
      <c r="A3141" s="407"/>
      <c r="C3141" s="149"/>
      <c r="D3141" s="455" t="s">
        <v>518</v>
      </c>
      <c r="E3141" s="456"/>
      <c r="F3141" s="456"/>
      <c r="G3141" s="456"/>
      <c r="I3141" s="29">
        <f>2500</f>
        <v>2500</v>
      </c>
      <c r="J3141" s="80"/>
      <c r="K3141" s="80">
        <f t="shared" si="210"/>
        <v>2500</v>
      </c>
      <c r="L3141" s="80"/>
    </row>
    <row r="3142" spans="1:12" s="79" customFormat="1" ht="13.5" customHeight="1">
      <c r="A3142" s="407"/>
      <c r="C3142" s="452" t="s">
        <v>569</v>
      </c>
      <c r="D3142" s="453"/>
      <c r="E3142" s="453"/>
      <c r="F3142" s="453"/>
      <c r="G3142" s="453"/>
      <c r="I3142" s="77">
        <f>35000+15000</f>
        <v>50000</v>
      </c>
      <c r="J3142" s="78"/>
      <c r="K3142" s="78">
        <f>SUM(I3142:J3142)</f>
        <v>50000</v>
      </c>
      <c r="L3142" s="78"/>
    </row>
    <row r="3143" spans="1:12" s="82" customFormat="1" ht="13.5" customHeight="1">
      <c r="A3143" s="407"/>
      <c r="C3143" s="149"/>
      <c r="D3143" s="89"/>
      <c r="E3143" s="368"/>
      <c r="F3143" s="368"/>
      <c r="G3143" s="368"/>
      <c r="I3143" s="29"/>
      <c r="J3143" s="80"/>
      <c r="K3143" s="80"/>
      <c r="L3143" s="80"/>
    </row>
    <row r="3144" spans="1:12" s="82" customFormat="1" ht="13.5" customHeight="1">
      <c r="A3144" s="407"/>
      <c r="C3144" s="149"/>
      <c r="I3144" s="29"/>
      <c r="J3144" s="80"/>
      <c r="K3144" s="80"/>
      <c r="L3144" s="80"/>
    </row>
    <row r="3145" spans="3:12" ht="13.5" customHeight="1">
      <c r="C3145" s="420" t="s">
        <v>519</v>
      </c>
      <c r="D3145" s="485"/>
      <c r="E3145" s="485"/>
      <c r="H3145" s="109"/>
      <c r="I3145" s="487" t="s">
        <v>520</v>
      </c>
      <c r="J3145" s="423"/>
      <c r="K3145" s="423"/>
      <c r="L3145" s="93"/>
    </row>
    <row r="3146" spans="1:12" s="82" customFormat="1" ht="13.5" customHeight="1">
      <c r="A3146" s="407"/>
      <c r="C3146" s="149"/>
      <c r="I3146" s="29"/>
      <c r="J3146" s="80"/>
      <c r="K3146" s="80"/>
      <c r="L3146" s="80"/>
    </row>
    <row r="3147" ht="13.5" customHeight="1">
      <c r="L3147" s="93"/>
    </row>
    <row r="3148" ht="13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</sheetData>
  <mergeCells count="2873">
    <mergeCell ref="D2025:H2025"/>
    <mergeCell ref="D2026:H2026"/>
    <mergeCell ref="D2021:H2021"/>
    <mergeCell ref="D2022:H2022"/>
    <mergeCell ref="D2023:H2023"/>
    <mergeCell ref="D2024:H2024"/>
    <mergeCell ref="D2017:H2017"/>
    <mergeCell ref="D2018:H2018"/>
    <mergeCell ref="D2019:H2019"/>
    <mergeCell ref="D2020:H2020"/>
    <mergeCell ref="D2013:H2013"/>
    <mergeCell ref="D2014:H2014"/>
    <mergeCell ref="D2015:H2015"/>
    <mergeCell ref="D2016:H2016"/>
    <mergeCell ref="D972:H972"/>
    <mergeCell ref="D2010:H2010"/>
    <mergeCell ref="D2011:H2011"/>
    <mergeCell ref="D2012:H2012"/>
    <mergeCell ref="D1933:H1933"/>
    <mergeCell ref="D1934:H1934"/>
    <mergeCell ref="D1935:H1935"/>
    <mergeCell ref="D1936:H1936"/>
    <mergeCell ref="D1929:H1929"/>
    <mergeCell ref="D1930:H1930"/>
    <mergeCell ref="D968:H968"/>
    <mergeCell ref="D969:H969"/>
    <mergeCell ref="D970:H970"/>
    <mergeCell ref="D971:H971"/>
    <mergeCell ref="D964:H964"/>
    <mergeCell ref="D965:H965"/>
    <mergeCell ref="D966:H966"/>
    <mergeCell ref="D967:H967"/>
    <mergeCell ref="D960:H960"/>
    <mergeCell ref="D961:H961"/>
    <mergeCell ref="D962:H962"/>
    <mergeCell ref="D963:H963"/>
    <mergeCell ref="D956:I956"/>
    <mergeCell ref="D957:H957"/>
    <mergeCell ref="D958:H958"/>
    <mergeCell ref="D959:H959"/>
    <mergeCell ref="D1931:H1931"/>
    <mergeCell ref="D1932:H1932"/>
    <mergeCell ref="D1925:H1925"/>
    <mergeCell ref="D1926:H1926"/>
    <mergeCell ref="D1927:H1927"/>
    <mergeCell ref="D1928:H1928"/>
    <mergeCell ref="D878:H878"/>
    <mergeCell ref="D879:H879"/>
    <mergeCell ref="D874:H874"/>
    <mergeCell ref="D875:H875"/>
    <mergeCell ref="D876:H876"/>
    <mergeCell ref="D877:H877"/>
    <mergeCell ref="D870:H870"/>
    <mergeCell ref="D871:H871"/>
    <mergeCell ref="D872:H872"/>
    <mergeCell ref="D873:H873"/>
    <mergeCell ref="D866:H866"/>
    <mergeCell ref="D867:H867"/>
    <mergeCell ref="D868:H868"/>
    <mergeCell ref="D869:H869"/>
    <mergeCell ref="D861:H861"/>
    <mergeCell ref="D863:H863"/>
    <mergeCell ref="D864:H864"/>
    <mergeCell ref="D865:H865"/>
    <mergeCell ref="D857:H857"/>
    <mergeCell ref="D858:H858"/>
    <mergeCell ref="D859:H859"/>
    <mergeCell ref="D860:H860"/>
    <mergeCell ref="D853:H853"/>
    <mergeCell ref="D854:H854"/>
    <mergeCell ref="D855:H855"/>
    <mergeCell ref="D856:H856"/>
    <mergeCell ref="D849:H849"/>
    <mergeCell ref="D850:H850"/>
    <mergeCell ref="D851:H851"/>
    <mergeCell ref="D852:H852"/>
    <mergeCell ref="D845:H845"/>
    <mergeCell ref="D846:H846"/>
    <mergeCell ref="D847:H847"/>
    <mergeCell ref="D848:H848"/>
    <mergeCell ref="D840:H840"/>
    <mergeCell ref="D841:H841"/>
    <mergeCell ref="D842:H842"/>
    <mergeCell ref="D843:H843"/>
    <mergeCell ref="D836:H836"/>
    <mergeCell ref="D837:H837"/>
    <mergeCell ref="D838:H838"/>
    <mergeCell ref="D839:H839"/>
    <mergeCell ref="D832:H832"/>
    <mergeCell ref="D833:H833"/>
    <mergeCell ref="D834:H834"/>
    <mergeCell ref="D835:H835"/>
    <mergeCell ref="D828:H828"/>
    <mergeCell ref="D829:H829"/>
    <mergeCell ref="D830:H830"/>
    <mergeCell ref="D831:H831"/>
    <mergeCell ref="D823:H823"/>
    <mergeCell ref="D824:H824"/>
    <mergeCell ref="D825:H825"/>
    <mergeCell ref="D827:H827"/>
    <mergeCell ref="D819:H819"/>
    <mergeCell ref="D820:H820"/>
    <mergeCell ref="D821:H821"/>
    <mergeCell ref="D822:H822"/>
    <mergeCell ref="D815:H815"/>
    <mergeCell ref="D816:H816"/>
    <mergeCell ref="D817:H817"/>
    <mergeCell ref="D818:H818"/>
    <mergeCell ref="D712:H712"/>
    <mergeCell ref="D809:H809"/>
    <mergeCell ref="D761:H761"/>
    <mergeCell ref="D750:H750"/>
    <mergeCell ref="D746:H746"/>
    <mergeCell ref="D747:H747"/>
    <mergeCell ref="D749:H749"/>
    <mergeCell ref="D748:H748"/>
    <mergeCell ref="D754:H754"/>
    <mergeCell ref="D760:H760"/>
    <mergeCell ref="D708:H708"/>
    <mergeCell ref="D709:H709"/>
    <mergeCell ref="D710:H710"/>
    <mergeCell ref="D711:H711"/>
    <mergeCell ref="D704:H704"/>
    <mergeCell ref="D705:H705"/>
    <mergeCell ref="D706:H706"/>
    <mergeCell ref="D707:H707"/>
    <mergeCell ref="D700:H700"/>
    <mergeCell ref="D701:H701"/>
    <mergeCell ref="D702:H702"/>
    <mergeCell ref="D703:H703"/>
    <mergeCell ref="D696:H696"/>
    <mergeCell ref="D697:H697"/>
    <mergeCell ref="D698:H698"/>
    <mergeCell ref="D699:H699"/>
    <mergeCell ref="D691:H691"/>
    <mergeCell ref="D692:H692"/>
    <mergeCell ref="D693:H693"/>
    <mergeCell ref="D694:H694"/>
    <mergeCell ref="D687:H687"/>
    <mergeCell ref="D688:H688"/>
    <mergeCell ref="D689:H689"/>
    <mergeCell ref="D690:H690"/>
    <mergeCell ref="D683:H683"/>
    <mergeCell ref="D684:H684"/>
    <mergeCell ref="D685:H685"/>
    <mergeCell ref="D686:H686"/>
    <mergeCell ref="D679:H679"/>
    <mergeCell ref="D680:H680"/>
    <mergeCell ref="D681:H681"/>
    <mergeCell ref="D682:H682"/>
    <mergeCell ref="D674:H674"/>
    <mergeCell ref="D675:H675"/>
    <mergeCell ref="D676:H676"/>
    <mergeCell ref="D678:H678"/>
    <mergeCell ref="D670:H670"/>
    <mergeCell ref="D671:H671"/>
    <mergeCell ref="D672:H672"/>
    <mergeCell ref="D673:H673"/>
    <mergeCell ref="D666:H666"/>
    <mergeCell ref="D667:H667"/>
    <mergeCell ref="D668:H668"/>
    <mergeCell ref="D669:H669"/>
    <mergeCell ref="D662:H662"/>
    <mergeCell ref="D663:H663"/>
    <mergeCell ref="D664:H664"/>
    <mergeCell ref="D665:H665"/>
    <mergeCell ref="D485:H485"/>
    <mergeCell ref="D486:H486"/>
    <mergeCell ref="D660:H660"/>
    <mergeCell ref="D661:H661"/>
    <mergeCell ref="D639:H639"/>
    <mergeCell ref="D560:H560"/>
    <mergeCell ref="D558:H558"/>
    <mergeCell ref="D559:H559"/>
    <mergeCell ref="D555:H555"/>
    <mergeCell ref="D556:H556"/>
    <mergeCell ref="D481:H481"/>
    <mergeCell ref="D482:H482"/>
    <mergeCell ref="D483:H483"/>
    <mergeCell ref="D484:H484"/>
    <mergeCell ref="D477:H477"/>
    <mergeCell ref="D478:H478"/>
    <mergeCell ref="D479:H479"/>
    <mergeCell ref="D480:H480"/>
    <mergeCell ref="D473:H473"/>
    <mergeCell ref="D474:H474"/>
    <mergeCell ref="D475:H475"/>
    <mergeCell ref="D476:H476"/>
    <mergeCell ref="D468:H468"/>
    <mergeCell ref="D470:H470"/>
    <mergeCell ref="D471:H471"/>
    <mergeCell ref="D472:H472"/>
    <mergeCell ref="D464:H464"/>
    <mergeCell ref="D465:H465"/>
    <mergeCell ref="D466:H466"/>
    <mergeCell ref="D467:H467"/>
    <mergeCell ref="D460:H460"/>
    <mergeCell ref="D461:H461"/>
    <mergeCell ref="D462:H462"/>
    <mergeCell ref="D463:H463"/>
    <mergeCell ref="D456:H456"/>
    <mergeCell ref="D457:H457"/>
    <mergeCell ref="D458:H458"/>
    <mergeCell ref="D459:H459"/>
    <mergeCell ref="D452:H452"/>
    <mergeCell ref="D453:H453"/>
    <mergeCell ref="D454:H454"/>
    <mergeCell ref="D455:H455"/>
    <mergeCell ref="D447:H447"/>
    <mergeCell ref="D448:H448"/>
    <mergeCell ref="D449:H449"/>
    <mergeCell ref="D450:H450"/>
    <mergeCell ref="D443:H443"/>
    <mergeCell ref="D444:H444"/>
    <mergeCell ref="D445:H445"/>
    <mergeCell ref="D446:H446"/>
    <mergeCell ref="D439:H439"/>
    <mergeCell ref="D440:H440"/>
    <mergeCell ref="D441:H441"/>
    <mergeCell ref="D442:H442"/>
    <mergeCell ref="D435:H435"/>
    <mergeCell ref="D436:H436"/>
    <mergeCell ref="D437:H437"/>
    <mergeCell ref="D438:H438"/>
    <mergeCell ref="D430:H430"/>
    <mergeCell ref="D431:H431"/>
    <mergeCell ref="D432:H432"/>
    <mergeCell ref="D434:H434"/>
    <mergeCell ref="D426:H426"/>
    <mergeCell ref="D427:H427"/>
    <mergeCell ref="D428:H428"/>
    <mergeCell ref="D429:H429"/>
    <mergeCell ref="D422:H422"/>
    <mergeCell ref="D423:H423"/>
    <mergeCell ref="D424:H424"/>
    <mergeCell ref="D425:H425"/>
    <mergeCell ref="D418:H418"/>
    <mergeCell ref="D419:H419"/>
    <mergeCell ref="D420:H420"/>
    <mergeCell ref="D421:H421"/>
    <mergeCell ref="D2766:H2766"/>
    <mergeCell ref="D2767:H2767"/>
    <mergeCell ref="D2768:H2768"/>
    <mergeCell ref="D2773:H2773"/>
    <mergeCell ref="D2769:H2769"/>
    <mergeCell ref="D2770:H2770"/>
    <mergeCell ref="D2771:H2771"/>
    <mergeCell ref="D2772:H2772"/>
    <mergeCell ref="D1074:H1074"/>
    <mergeCell ref="D1075:H1075"/>
    <mergeCell ref="D1076:H1076"/>
    <mergeCell ref="D1077:H1077"/>
    <mergeCell ref="D2744:H2744"/>
    <mergeCell ref="D2743:H2743"/>
    <mergeCell ref="D2729:H2729"/>
    <mergeCell ref="D1078:H1078"/>
    <mergeCell ref="D1079:H1079"/>
    <mergeCell ref="D1080:H1080"/>
    <mergeCell ref="D2728:H2728"/>
    <mergeCell ref="D2725:H2725"/>
    <mergeCell ref="D2726:H2726"/>
    <mergeCell ref="D2710:H2710"/>
    <mergeCell ref="C6:K6"/>
    <mergeCell ref="D1086:H1086"/>
    <mergeCell ref="D1081:H1081"/>
    <mergeCell ref="D1082:H1082"/>
    <mergeCell ref="D1083:H1083"/>
    <mergeCell ref="D1084:H1084"/>
    <mergeCell ref="D311:H311"/>
    <mergeCell ref="D906:H906"/>
    <mergeCell ref="D1085:H1085"/>
    <mergeCell ref="D1073:H1073"/>
    <mergeCell ref="I3145:K3145"/>
    <mergeCell ref="D1028:H1028"/>
    <mergeCell ref="D2735:H2735"/>
    <mergeCell ref="D2731:H2731"/>
    <mergeCell ref="D2732:H2732"/>
    <mergeCell ref="D2733:H2733"/>
    <mergeCell ref="D2734:H2734"/>
    <mergeCell ref="D3081:H3081"/>
    <mergeCell ref="D3075:H3075"/>
    <mergeCell ref="D2758:H2758"/>
    <mergeCell ref="D1025:H1025"/>
    <mergeCell ref="D916:H916"/>
    <mergeCell ref="D1003:H1003"/>
    <mergeCell ref="D1004:H1004"/>
    <mergeCell ref="D1021:H1021"/>
    <mergeCell ref="D1022:H1022"/>
    <mergeCell ref="D1017:H1017"/>
    <mergeCell ref="D1019:H1019"/>
    <mergeCell ref="D1002:H1002"/>
    <mergeCell ref="D925:H925"/>
    <mergeCell ref="D1026:H1026"/>
    <mergeCell ref="D927:H927"/>
    <mergeCell ref="D1015:H1015"/>
    <mergeCell ref="D1016:H1016"/>
    <mergeCell ref="D1023:H1023"/>
    <mergeCell ref="D928:H928"/>
    <mergeCell ref="D1008:H1008"/>
    <mergeCell ref="D1018:H1018"/>
    <mergeCell ref="D1020:H1020"/>
    <mergeCell ref="D998:H998"/>
    <mergeCell ref="D2727:H2727"/>
    <mergeCell ref="D2709:H2709"/>
    <mergeCell ref="D2713:H2713"/>
    <mergeCell ref="D2714:H2714"/>
    <mergeCell ref="D2712:H2712"/>
    <mergeCell ref="D2711:H2711"/>
    <mergeCell ref="D3091:H3091"/>
    <mergeCell ref="D3087:H3087"/>
    <mergeCell ref="D3088:H3088"/>
    <mergeCell ref="D3089:H3089"/>
    <mergeCell ref="D3090:H3090"/>
    <mergeCell ref="D2972:H2972"/>
    <mergeCell ref="D1024:H1024"/>
    <mergeCell ref="D3083:H3083"/>
    <mergeCell ref="D3078:H3078"/>
    <mergeCell ref="D3080:H3080"/>
    <mergeCell ref="D3076:H3076"/>
    <mergeCell ref="D2715:H2715"/>
    <mergeCell ref="D2716:H2716"/>
    <mergeCell ref="D2707:H2707"/>
    <mergeCell ref="D2708:H2708"/>
    <mergeCell ref="D2967:H2967"/>
    <mergeCell ref="D2970:H2970"/>
    <mergeCell ref="D2969:H2969"/>
    <mergeCell ref="D2971:H2971"/>
    <mergeCell ref="D2957:H2957"/>
    <mergeCell ref="D2949:H2949"/>
    <mergeCell ref="D2951:H2951"/>
    <mergeCell ref="D2952:H2952"/>
    <mergeCell ref="D2830:H2830"/>
    <mergeCell ref="D2845:H2845"/>
    <mergeCell ref="D2846:H2846"/>
    <mergeCell ref="D2841:H2841"/>
    <mergeCell ref="D2842:H2842"/>
    <mergeCell ref="D2843:H2843"/>
    <mergeCell ref="D2844:H2844"/>
    <mergeCell ref="D2838:H2838"/>
    <mergeCell ref="D2839:H2839"/>
    <mergeCell ref="D2836:H2836"/>
    <mergeCell ref="D2730:H2730"/>
    <mergeCell ref="D2785:H2785"/>
    <mergeCell ref="D2786:H2786"/>
    <mergeCell ref="D2787:H2787"/>
    <mergeCell ref="D2783:H2783"/>
    <mergeCell ref="D2759:H2759"/>
    <mergeCell ref="D2745:H2745"/>
    <mergeCell ref="D2746:H2746"/>
    <mergeCell ref="D2740:H2740"/>
    <mergeCell ref="D2741:H2741"/>
    <mergeCell ref="D2682:H2682"/>
    <mergeCell ref="D2742:H2742"/>
    <mergeCell ref="D2738:H2738"/>
    <mergeCell ref="D2739:H2739"/>
    <mergeCell ref="D2719:H2719"/>
    <mergeCell ref="D2720:H2720"/>
    <mergeCell ref="D2721:H2721"/>
    <mergeCell ref="D2722:H2722"/>
    <mergeCell ref="D2723:H2723"/>
    <mergeCell ref="D2724:H2724"/>
    <mergeCell ref="D2700:H2700"/>
    <mergeCell ref="D2690:H2690"/>
    <mergeCell ref="D2689:H2689"/>
    <mergeCell ref="D2686:H2686"/>
    <mergeCell ref="D2687:H2687"/>
    <mergeCell ref="D2688:H2688"/>
    <mergeCell ref="D2675:H2675"/>
    <mergeCell ref="D2674:H2674"/>
    <mergeCell ref="D2656:H2656"/>
    <mergeCell ref="D2655:H2655"/>
    <mergeCell ref="D2657:H2657"/>
    <mergeCell ref="D2661:H2661"/>
    <mergeCell ref="D2606:H2606"/>
    <mergeCell ref="D2628:H2628"/>
    <mergeCell ref="D2673:H2673"/>
    <mergeCell ref="D2672:H2672"/>
    <mergeCell ref="D2634:H2634"/>
    <mergeCell ref="D2668:H2668"/>
    <mergeCell ref="D2670:H2670"/>
    <mergeCell ref="D2665:H2665"/>
    <mergeCell ref="D2666:H2666"/>
    <mergeCell ref="D2664:H2664"/>
    <mergeCell ref="D2616:H2616"/>
    <mergeCell ref="D2614:H2614"/>
    <mergeCell ref="D2609:H2609"/>
    <mergeCell ref="D2615:H2615"/>
    <mergeCell ref="D2611:H2611"/>
    <mergeCell ref="D2612:H2612"/>
    <mergeCell ref="D2610:H2610"/>
    <mergeCell ref="D2613:H2613"/>
    <mergeCell ref="D2632:H2632"/>
    <mergeCell ref="D2633:H2633"/>
    <mergeCell ref="D2629:H2629"/>
    <mergeCell ref="D2630:H2630"/>
    <mergeCell ref="D2631:H2631"/>
    <mergeCell ref="D2643:H2643"/>
    <mergeCell ref="D2636:H2636"/>
    <mergeCell ref="D2654:H2654"/>
    <mergeCell ref="D2577:H2577"/>
    <mergeCell ref="D2593:H2593"/>
    <mergeCell ref="D2594:H2594"/>
    <mergeCell ref="D2596:H2596"/>
    <mergeCell ref="D2586:H2586"/>
    <mergeCell ref="D2595:H2595"/>
    <mergeCell ref="D2617:H2617"/>
    <mergeCell ref="D2551:H2551"/>
    <mergeCell ref="D2573:H2573"/>
    <mergeCell ref="D2562:H2562"/>
    <mergeCell ref="D2561:H2561"/>
    <mergeCell ref="D2564:H2564"/>
    <mergeCell ref="D2563:H2563"/>
    <mergeCell ref="D2568:H2568"/>
    <mergeCell ref="D2554:H2554"/>
    <mergeCell ref="D2565:H2565"/>
    <mergeCell ref="D2555:H2555"/>
    <mergeCell ref="D2510:H2510"/>
    <mergeCell ref="D2560:H2560"/>
    <mergeCell ref="D2566:H2566"/>
    <mergeCell ref="D2567:H2567"/>
    <mergeCell ref="D2528:H2528"/>
    <mergeCell ref="D2558:H2558"/>
    <mergeCell ref="D2557:H2557"/>
    <mergeCell ref="D2537:H2537"/>
    <mergeCell ref="D2550:H2550"/>
    <mergeCell ref="D2559:H2559"/>
    <mergeCell ref="D2096:H2096"/>
    <mergeCell ref="D2462:H2462"/>
    <mergeCell ref="D2463:H2463"/>
    <mergeCell ref="D2474:H2474"/>
    <mergeCell ref="D2465:H2465"/>
    <mergeCell ref="D2473:H2473"/>
    <mergeCell ref="D2469:H2469"/>
    <mergeCell ref="D2472:H2472"/>
    <mergeCell ref="D2468:H2468"/>
    <mergeCell ref="D2136:H2136"/>
    <mergeCell ref="D2147:H2147"/>
    <mergeCell ref="D2144:H2144"/>
    <mergeCell ref="D2149:H2149"/>
    <mergeCell ref="D2148:H2148"/>
    <mergeCell ref="D2138:H2138"/>
    <mergeCell ref="D2075:H2075"/>
    <mergeCell ref="D2080:H2080"/>
    <mergeCell ref="D2452:H2452"/>
    <mergeCell ref="D2262:H2262"/>
    <mergeCell ref="D2161:H2161"/>
    <mergeCell ref="D2092:H2092"/>
    <mergeCell ref="D2145:H2145"/>
    <mergeCell ref="D2142:H2142"/>
    <mergeCell ref="D2143:H2143"/>
    <mergeCell ref="D2095:H2095"/>
    <mergeCell ref="D1831:H1831"/>
    <mergeCell ref="D1826:H1826"/>
    <mergeCell ref="D2090:H2090"/>
    <mergeCell ref="D2087:H2087"/>
    <mergeCell ref="D2086:H2086"/>
    <mergeCell ref="D1900:H1900"/>
    <mergeCell ref="D1905:H1905"/>
    <mergeCell ref="D1919:H1919"/>
    <mergeCell ref="D1915:H1915"/>
    <mergeCell ref="D1858:H1858"/>
    <mergeCell ref="D1897:H1897"/>
    <mergeCell ref="D1871:H1871"/>
    <mergeCell ref="D1863:H1863"/>
    <mergeCell ref="D1889:H1889"/>
    <mergeCell ref="D1890:H1890"/>
    <mergeCell ref="D1869:H1869"/>
    <mergeCell ref="D1888:H1888"/>
    <mergeCell ref="D1887:H1887"/>
    <mergeCell ref="D1872:H1872"/>
    <mergeCell ref="D1830:H1830"/>
    <mergeCell ref="D1824:H1824"/>
    <mergeCell ref="D1825:H1825"/>
    <mergeCell ref="D1828:H1828"/>
    <mergeCell ref="D1827:H1827"/>
    <mergeCell ref="D1810:H1810"/>
    <mergeCell ref="D1806:H1806"/>
    <mergeCell ref="D1807:H1807"/>
    <mergeCell ref="D1823:H1823"/>
    <mergeCell ref="D1816:H1816"/>
    <mergeCell ref="D1821:H1821"/>
    <mergeCell ref="D1819:H1819"/>
    <mergeCell ref="D1818:H1818"/>
    <mergeCell ref="D1820:H1820"/>
    <mergeCell ref="D1817:H1817"/>
    <mergeCell ref="D1731:H1731"/>
    <mergeCell ref="D1813:H1813"/>
    <mergeCell ref="D1814:H1814"/>
    <mergeCell ref="D1815:H1815"/>
    <mergeCell ref="D1786:H1786"/>
    <mergeCell ref="D1787:H1787"/>
    <mergeCell ref="D1788:H1788"/>
    <mergeCell ref="D1796:H1796"/>
    <mergeCell ref="D1797:H1797"/>
    <mergeCell ref="D1802:H1802"/>
    <mergeCell ref="D1716:H1716"/>
    <mergeCell ref="D1717:H1717"/>
    <mergeCell ref="D1713:H1713"/>
    <mergeCell ref="D1733:H1733"/>
    <mergeCell ref="D1726:H1726"/>
    <mergeCell ref="D1727:H1727"/>
    <mergeCell ref="D1728:H1728"/>
    <mergeCell ref="D1729:H1729"/>
    <mergeCell ref="D1730:H1730"/>
    <mergeCell ref="D1732:H1732"/>
    <mergeCell ref="D1725:H1725"/>
    <mergeCell ref="D1724:H1724"/>
    <mergeCell ref="D1719:H1719"/>
    <mergeCell ref="D1720:H1720"/>
    <mergeCell ref="D1721:H1721"/>
    <mergeCell ref="D1722:H1722"/>
    <mergeCell ref="D1723:H1723"/>
    <mergeCell ref="D1715:H1715"/>
    <mergeCell ref="D1616:H1616"/>
    <mergeCell ref="D1617:H1617"/>
    <mergeCell ref="D1618:H1618"/>
    <mergeCell ref="D1619:H1619"/>
    <mergeCell ref="D1679:H1679"/>
    <mergeCell ref="D1638:H1638"/>
    <mergeCell ref="D1674:H1674"/>
    <mergeCell ref="D1714:H1714"/>
    <mergeCell ref="D1671:H1671"/>
    <mergeCell ref="D1703:H1703"/>
    <mergeCell ref="D1667:H1667"/>
    <mergeCell ref="D1664:H1664"/>
    <mergeCell ref="D1670:H1670"/>
    <mergeCell ref="D1678:H1678"/>
    <mergeCell ref="D1665:H1665"/>
    <mergeCell ref="D1672:H1672"/>
    <mergeCell ref="D1673:H1673"/>
    <mergeCell ref="D1675:H1675"/>
    <mergeCell ref="D1681:H1681"/>
    <mergeCell ref="D1382:H1382"/>
    <mergeCell ref="D1499:H1499"/>
    <mergeCell ref="D1495:H1495"/>
    <mergeCell ref="D1501:H1501"/>
    <mergeCell ref="D1497:H1497"/>
    <mergeCell ref="D1498:H1498"/>
    <mergeCell ref="D1398:H1398"/>
    <mergeCell ref="D1394:H1394"/>
    <mergeCell ref="D1393:H1393"/>
    <mergeCell ref="D1423:H1423"/>
    <mergeCell ref="D1389:H1389"/>
    <mergeCell ref="D1390:H1390"/>
    <mergeCell ref="D1385:H1385"/>
    <mergeCell ref="D1386:H1386"/>
    <mergeCell ref="D1387:H1387"/>
    <mergeCell ref="D1388:H1388"/>
    <mergeCell ref="D1415:H1415"/>
    <mergeCell ref="D1405:H1405"/>
    <mergeCell ref="D1410:H1410"/>
    <mergeCell ref="D1412:H1412"/>
    <mergeCell ref="D1407:H1407"/>
    <mergeCell ref="D1406:H1406"/>
    <mergeCell ref="D1408:H1408"/>
    <mergeCell ref="D1416:H1416"/>
    <mergeCell ref="D1417:H1417"/>
    <mergeCell ref="D1418:H1418"/>
    <mergeCell ref="D1371:H1371"/>
    <mergeCell ref="D1372:H1372"/>
    <mergeCell ref="D1381:H1381"/>
    <mergeCell ref="D1380:H1380"/>
    <mergeCell ref="D1411:H1411"/>
    <mergeCell ref="D1404:H1404"/>
    <mergeCell ref="D1409:H1409"/>
    <mergeCell ref="D1376:H1376"/>
    <mergeCell ref="D1373:H1373"/>
    <mergeCell ref="D1379:H1379"/>
    <mergeCell ref="D1374:H1374"/>
    <mergeCell ref="D1377:H1377"/>
    <mergeCell ref="D1378:H1378"/>
    <mergeCell ref="D1375:H1375"/>
    <mergeCell ref="D1348:H1348"/>
    <mergeCell ref="D1343:H1343"/>
    <mergeCell ref="D1344:H1344"/>
    <mergeCell ref="D1370:H1370"/>
    <mergeCell ref="D1352:H1352"/>
    <mergeCell ref="D1364:H1364"/>
    <mergeCell ref="D1367:H1367"/>
    <mergeCell ref="D1368:H1368"/>
    <mergeCell ref="D1353:H1353"/>
    <mergeCell ref="D1362:H1362"/>
    <mergeCell ref="D1330:H1330"/>
    <mergeCell ref="D1342:H1342"/>
    <mergeCell ref="D1345:H1345"/>
    <mergeCell ref="D1346:H1346"/>
    <mergeCell ref="D1093:H1093"/>
    <mergeCell ref="D1322:H1322"/>
    <mergeCell ref="D1341:H1341"/>
    <mergeCell ref="D1335:H1335"/>
    <mergeCell ref="D1340:H1340"/>
    <mergeCell ref="D1338:H1338"/>
    <mergeCell ref="D1336:H1336"/>
    <mergeCell ref="D1337:H1337"/>
    <mergeCell ref="D1339:H1339"/>
    <mergeCell ref="D1333:H1333"/>
    <mergeCell ref="D1097:H1097"/>
    <mergeCell ref="D1088:H1088"/>
    <mergeCell ref="D1276:H1276"/>
    <mergeCell ref="D1264:H1264"/>
    <mergeCell ref="D1263:H1263"/>
    <mergeCell ref="D1268:H1268"/>
    <mergeCell ref="D1266:H1266"/>
    <mergeCell ref="D1265:H1265"/>
    <mergeCell ref="D1267:H1267"/>
    <mergeCell ref="D1092:H1092"/>
    <mergeCell ref="D756:H756"/>
    <mergeCell ref="D757:H757"/>
    <mergeCell ref="D758:H758"/>
    <mergeCell ref="D716:H716"/>
    <mergeCell ref="D722:H722"/>
    <mergeCell ref="D723:H723"/>
    <mergeCell ref="D717:H717"/>
    <mergeCell ref="D719:H719"/>
    <mergeCell ref="D720:H720"/>
    <mergeCell ref="D721:H721"/>
    <mergeCell ref="D718:H718"/>
    <mergeCell ref="D745:H745"/>
    <mergeCell ref="D645:H645"/>
    <mergeCell ref="D641:H641"/>
    <mergeCell ref="D643:H643"/>
    <mergeCell ref="D642:H642"/>
    <mergeCell ref="D651:H651"/>
    <mergeCell ref="D646:H646"/>
    <mergeCell ref="D648:H648"/>
    <mergeCell ref="D744:H744"/>
    <mergeCell ref="D557:H557"/>
    <mergeCell ref="D505:H505"/>
    <mergeCell ref="D508:H508"/>
    <mergeCell ref="D515:H515"/>
    <mergeCell ref="D527:H527"/>
    <mergeCell ref="D541:H541"/>
    <mergeCell ref="D546:H546"/>
    <mergeCell ref="D542:H542"/>
    <mergeCell ref="D536:H536"/>
    <mergeCell ref="D523:H523"/>
    <mergeCell ref="D309:H309"/>
    <mergeCell ref="D310:H310"/>
    <mergeCell ref="D498:H498"/>
    <mergeCell ref="D312:H312"/>
    <mergeCell ref="D403:H403"/>
    <mergeCell ref="D405:H405"/>
    <mergeCell ref="D316:H316"/>
    <mergeCell ref="D317:H317"/>
    <mergeCell ref="D416:H416"/>
    <mergeCell ref="D417:H417"/>
    <mergeCell ref="D499:H499"/>
    <mergeCell ref="D500:H500"/>
    <mergeCell ref="D534:H534"/>
    <mergeCell ref="D535:H535"/>
    <mergeCell ref="D503:H503"/>
    <mergeCell ref="D504:H504"/>
    <mergeCell ref="D528:H528"/>
    <mergeCell ref="D521:H521"/>
    <mergeCell ref="D522:H522"/>
    <mergeCell ref="D519:H519"/>
    <mergeCell ref="D616:H616"/>
    <mergeCell ref="D618:H618"/>
    <mergeCell ref="D620:H620"/>
    <mergeCell ref="D537:H537"/>
    <mergeCell ref="D549:H549"/>
    <mergeCell ref="D550:H550"/>
    <mergeCell ref="D554:H554"/>
    <mergeCell ref="D552:H552"/>
    <mergeCell ref="D551:H551"/>
    <mergeCell ref="D543:H543"/>
    <mergeCell ref="D493:H493"/>
    <mergeCell ref="D520:H520"/>
    <mergeCell ref="C3145:E3145"/>
    <mergeCell ref="D2600:H2600"/>
    <mergeCell ref="D2601:H2601"/>
    <mergeCell ref="D540:H540"/>
    <mergeCell ref="D2599:H2599"/>
    <mergeCell ref="D901:H901"/>
    <mergeCell ref="D588:H588"/>
    <mergeCell ref="D752:H752"/>
    <mergeCell ref="D490:H490"/>
    <mergeCell ref="D524:H524"/>
    <mergeCell ref="D539:H539"/>
    <mergeCell ref="D494:H494"/>
    <mergeCell ref="D495:H495"/>
    <mergeCell ref="D496:H496"/>
    <mergeCell ref="D497:H497"/>
    <mergeCell ref="D518:H518"/>
    <mergeCell ref="D516:H516"/>
    <mergeCell ref="D517:H517"/>
    <mergeCell ref="D738:H738"/>
    <mergeCell ref="D736:H736"/>
    <mergeCell ref="D729:H729"/>
    <mergeCell ref="D730:H730"/>
    <mergeCell ref="D731:H731"/>
    <mergeCell ref="D882:I882"/>
    <mergeCell ref="D885:H885"/>
    <mergeCell ref="D902:H902"/>
    <mergeCell ref="D887:H887"/>
    <mergeCell ref="D888:H888"/>
    <mergeCell ref="D891:H891"/>
    <mergeCell ref="D897:H897"/>
    <mergeCell ref="D898:H898"/>
    <mergeCell ref="D883:H883"/>
    <mergeCell ref="D896:H896"/>
    <mergeCell ref="D905:H905"/>
    <mergeCell ref="D903:H903"/>
    <mergeCell ref="D914:H914"/>
    <mergeCell ref="D917:H917"/>
    <mergeCell ref="D907:H907"/>
    <mergeCell ref="D908:H908"/>
    <mergeCell ref="D909:H909"/>
    <mergeCell ref="D913:H913"/>
    <mergeCell ref="D904:H904"/>
    <mergeCell ref="D912:H912"/>
    <mergeCell ref="D1034:H1034"/>
    <mergeCell ref="D1012:H1012"/>
    <mergeCell ref="D993:H993"/>
    <mergeCell ref="D994:H994"/>
    <mergeCell ref="D995:H995"/>
    <mergeCell ref="D1013:H1013"/>
    <mergeCell ref="D1014:H1014"/>
    <mergeCell ref="D1027:H1027"/>
    <mergeCell ref="D1032:H1032"/>
    <mergeCell ref="D996:H996"/>
    <mergeCell ref="D1058:H1058"/>
    <mergeCell ref="D1055:H1055"/>
    <mergeCell ref="D1052:H1052"/>
    <mergeCell ref="D1053:H1053"/>
    <mergeCell ref="D1043:H1043"/>
    <mergeCell ref="D1044:H1044"/>
    <mergeCell ref="D1047:H1047"/>
    <mergeCell ref="D1066:H1066"/>
    <mergeCell ref="D1060:H1060"/>
    <mergeCell ref="D1059:H1059"/>
    <mergeCell ref="D1051:H1051"/>
    <mergeCell ref="D1049:H1049"/>
    <mergeCell ref="D1045:H1045"/>
    <mergeCell ref="D1046:H1046"/>
    <mergeCell ref="D1067:H1067"/>
    <mergeCell ref="D1062:H1062"/>
    <mergeCell ref="D1064:H1064"/>
    <mergeCell ref="D1063:H1063"/>
    <mergeCell ref="D1384:H1384"/>
    <mergeCell ref="D1391:H1391"/>
    <mergeCell ref="D1369:H1369"/>
    <mergeCell ref="D1070:H1070"/>
    <mergeCell ref="D1094:H1094"/>
    <mergeCell ref="D1095:H1095"/>
    <mergeCell ref="D1101:H1101"/>
    <mergeCell ref="D1096:H1096"/>
    <mergeCell ref="D1098:H1098"/>
    <mergeCell ref="D1099:H1099"/>
    <mergeCell ref="D1395:H1395"/>
    <mergeCell ref="D1392:H1392"/>
    <mergeCell ref="D1397:H1397"/>
    <mergeCell ref="D1396:H1396"/>
    <mergeCell ref="D1435:H1435"/>
    <mergeCell ref="D1426:H1426"/>
    <mergeCell ref="D1427:H1427"/>
    <mergeCell ref="D1429:H1429"/>
    <mergeCell ref="D1431:H1431"/>
    <mergeCell ref="D1430:H1430"/>
    <mergeCell ref="D1433:H1433"/>
    <mergeCell ref="D1434:H1434"/>
    <mergeCell ref="D1438:H1438"/>
    <mergeCell ref="D1822:H1822"/>
    <mergeCell ref="D1636:H1636"/>
    <mergeCell ref="D1641:H1641"/>
    <mergeCell ref="D1812:H1812"/>
    <mergeCell ref="D1805:H1805"/>
    <mergeCell ref="D1808:H1808"/>
    <mergeCell ref="D1809:H1809"/>
    <mergeCell ref="D1444:H1444"/>
    <mergeCell ref="D1441:H1441"/>
    <mergeCell ref="D1849:H1849"/>
    <mergeCell ref="D1851:H1851"/>
    <mergeCell ref="D1857:H1857"/>
    <mergeCell ref="D1856:H1856"/>
    <mergeCell ref="D1855:H1855"/>
    <mergeCell ref="D1852:H1852"/>
    <mergeCell ref="D1853:H1853"/>
    <mergeCell ref="D1850:H1850"/>
    <mergeCell ref="D1854:H1854"/>
    <mergeCell ref="D2074:H2074"/>
    <mergeCell ref="D2073:H2073"/>
    <mergeCell ref="D2071:H2071"/>
    <mergeCell ref="D2088:H2088"/>
    <mergeCell ref="D2085:H2085"/>
    <mergeCell ref="D2078:H2078"/>
    <mergeCell ref="D2076:H2076"/>
    <mergeCell ref="D2081:H2081"/>
    <mergeCell ref="D2084:H2084"/>
    <mergeCell ref="D2082:H2082"/>
    <mergeCell ref="D2079:H2079"/>
    <mergeCell ref="D2355:H2355"/>
    <mergeCell ref="D2345:H2345"/>
    <mergeCell ref="D2146:H2146"/>
    <mergeCell ref="D2156:H2156"/>
    <mergeCell ref="D2151:H2151"/>
    <mergeCell ref="D2153:H2153"/>
    <mergeCell ref="D2336:H2336"/>
    <mergeCell ref="D2343:H2343"/>
    <mergeCell ref="D2344:H2344"/>
    <mergeCell ref="D2204:H2204"/>
    <mergeCell ref="D2205:H2205"/>
    <mergeCell ref="D2206:H2206"/>
    <mergeCell ref="D2249:H2249"/>
    <mergeCell ref="D2210:H2210"/>
    <mergeCell ref="D2215:H2215"/>
    <mergeCell ref="D2233:H2233"/>
    <mergeCell ref="D2217:H2217"/>
    <mergeCell ref="D2221:H2221"/>
    <mergeCell ref="D2225:H2225"/>
    <mergeCell ref="D2363:H2363"/>
    <mergeCell ref="D2267:H2267"/>
    <mergeCell ref="D2223:H2223"/>
    <mergeCell ref="D2224:H2224"/>
    <mergeCell ref="D2328:H2328"/>
    <mergeCell ref="D2352:H2352"/>
    <mergeCell ref="D2354:H2354"/>
    <mergeCell ref="D2357:H2357"/>
    <mergeCell ref="D2361:H2361"/>
    <mergeCell ref="D2362:H2362"/>
    <mergeCell ref="D2365:H2365"/>
    <mergeCell ref="D2419:H2419"/>
    <mergeCell ref="D2397:H2397"/>
    <mergeCell ref="D2390:H2390"/>
    <mergeCell ref="D2392:H2392"/>
    <mergeCell ref="D2398:H2398"/>
    <mergeCell ref="D2399:H2399"/>
    <mergeCell ref="D2375:H2375"/>
    <mergeCell ref="D2370:H2370"/>
    <mergeCell ref="D2374:H2374"/>
    <mergeCell ref="D2454:H2454"/>
    <mergeCell ref="D2416:H2416"/>
    <mergeCell ref="D2420:H2420"/>
    <mergeCell ref="D2366:H2366"/>
    <mergeCell ref="D2421:H2421"/>
    <mergeCell ref="D2422:H2422"/>
    <mergeCell ref="D2444:H2444"/>
    <mergeCell ref="D2451:H2451"/>
    <mergeCell ref="D2437:H2437"/>
    <mergeCell ref="D2426:H2426"/>
    <mergeCell ref="D2446:H2446"/>
    <mergeCell ref="D2360:H2360"/>
    <mergeCell ref="D2459:H2459"/>
    <mergeCell ref="D2448:H2448"/>
    <mergeCell ref="D2432:H2432"/>
    <mergeCell ref="D2438:H2438"/>
    <mergeCell ref="D2435:H2435"/>
    <mergeCell ref="D2450:H2450"/>
    <mergeCell ref="D2445:H2445"/>
    <mergeCell ref="D2453:H2453"/>
    <mergeCell ref="D2423:H2423"/>
    <mergeCell ref="D2424:H2424"/>
    <mergeCell ref="D2428:H2428"/>
    <mergeCell ref="D2431:H2431"/>
    <mergeCell ref="D2543:H2543"/>
    <mergeCell ref="D2542:H2542"/>
    <mergeCell ref="D2433:H2433"/>
    <mergeCell ref="D2427:H2427"/>
    <mergeCell ref="D2430:H2430"/>
    <mergeCell ref="D2492:H2492"/>
    <mergeCell ref="D2493:H2493"/>
    <mergeCell ref="D2494:H2494"/>
    <mergeCell ref="D2477:H2477"/>
    <mergeCell ref="D2460:H2460"/>
    <mergeCell ref="D2531:H2531"/>
    <mergeCell ref="D2499:H2499"/>
    <mergeCell ref="D2490:H2490"/>
    <mergeCell ref="D2508:H2508"/>
    <mergeCell ref="D2511:H2511"/>
    <mergeCell ref="D2507:H2507"/>
    <mergeCell ref="D2521:H2521"/>
    <mergeCell ref="D2525:H2525"/>
    <mergeCell ref="D2523:H2523"/>
    <mergeCell ref="D2504:H2504"/>
    <mergeCell ref="D2489:H2489"/>
    <mergeCell ref="D2491:H2491"/>
    <mergeCell ref="D2487:H2487"/>
    <mergeCell ref="D2527:H2527"/>
    <mergeCell ref="D2505:H2505"/>
    <mergeCell ref="D2506:H2506"/>
    <mergeCell ref="D2522:H2522"/>
    <mergeCell ref="D2519:H2519"/>
    <mergeCell ref="D2520:H2520"/>
    <mergeCell ref="D2509:H2509"/>
    <mergeCell ref="D2501:H2501"/>
    <mergeCell ref="D2502:H2502"/>
    <mergeCell ref="D2503:H2503"/>
    <mergeCell ref="D2495:H2495"/>
    <mergeCell ref="D2496:H2496"/>
    <mergeCell ref="D2500:H2500"/>
    <mergeCell ref="D2618:H2618"/>
    <mergeCell ref="D2622:H2622"/>
    <mergeCell ref="D2621:H2621"/>
    <mergeCell ref="D2620:H2620"/>
    <mergeCell ref="D2619:H2619"/>
    <mergeCell ref="D2627:H2627"/>
    <mergeCell ref="D2635:H2635"/>
    <mergeCell ref="D2526:H2526"/>
    <mergeCell ref="D2579:H2579"/>
    <mergeCell ref="D2548:H2548"/>
    <mergeCell ref="D2546:H2546"/>
    <mergeCell ref="D2547:H2547"/>
    <mergeCell ref="D2545:H2545"/>
    <mergeCell ref="D2544:H2544"/>
    <mergeCell ref="D2552:H2552"/>
    <mergeCell ref="D2753:H2753"/>
    <mergeCell ref="D2788:H2788"/>
    <mergeCell ref="D2667:H2667"/>
    <mergeCell ref="D2747:H2747"/>
    <mergeCell ref="D2750:H2750"/>
    <mergeCell ref="D2749:H2749"/>
    <mergeCell ref="D2669:H2669"/>
    <mergeCell ref="D2671:H2671"/>
    <mergeCell ref="D2762:H2762"/>
    <mergeCell ref="D2763:H2763"/>
    <mergeCell ref="D2764:H2764"/>
    <mergeCell ref="D2765:H2765"/>
    <mergeCell ref="D3001:H3001"/>
    <mergeCell ref="D3062:H3062"/>
    <mergeCell ref="D3059:H3059"/>
    <mergeCell ref="D3060:H3060"/>
    <mergeCell ref="D3021:H3021"/>
    <mergeCell ref="D3011:H3011"/>
    <mergeCell ref="D3041:H3041"/>
    <mergeCell ref="D3039:H3039"/>
    <mergeCell ref="D3031:H3031"/>
    <mergeCell ref="D3079:H3079"/>
    <mergeCell ref="D2919:H2919"/>
    <mergeCell ref="D2920:H2920"/>
    <mergeCell ref="D2937:H2937"/>
    <mergeCell ref="D2984:H2984"/>
    <mergeCell ref="D2921:H2921"/>
    <mergeCell ref="D2953:H2953"/>
    <mergeCell ref="D2943:H2943"/>
    <mergeCell ref="D2950:H2950"/>
    <mergeCell ref="D2869:H2869"/>
    <mergeCell ref="D2883:H2883"/>
    <mergeCell ref="D2877:H2877"/>
    <mergeCell ref="D2881:H2881"/>
    <mergeCell ref="D2873:H2873"/>
    <mergeCell ref="D2676:H2676"/>
    <mergeCell ref="D2677:H2677"/>
    <mergeCell ref="D2975:H2975"/>
    <mergeCell ref="D2964:H2964"/>
    <mergeCell ref="D2955:H2955"/>
    <mergeCell ref="D2956:H2956"/>
    <mergeCell ref="D2962:H2962"/>
    <mergeCell ref="D2968:H2968"/>
    <mergeCell ref="D2958:H2958"/>
    <mergeCell ref="D2959:H2959"/>
    <mergeCell ref="D2442:H2442"/>
    <mergeCell ref="D2457:H2457"/>
    <mergeCell ref="D2456:H2456"/>
    <mergeCell ref="D2488:H2488"/>
    <mergeCell ref="D2483:H2483"/>
    <mergeCell ref="D2484:H2484"/>
    <mergeCell ref="D2485:H2485"/>
    <mergeCell ref="D2486:H2486"/>
    <mergeCell ref="D2458:H2458"/>
    <mergeCell ref="D2455:H2455"/>
    <mergeCell ref="D2439:H2439"/>
    <mergeCell ref="D2440:H2440"/>
    <mergeCell ref="D2436:H2436"/>
    <mergeCell ref="D2441:H2441"/>
    <mergeCell ref="D2164:H2164"/>
    <mergeCell ref="D2179:H2179"/>
    <mergeCell ref="D2182:H2182"/>
    <mergeCell ref="D2183:H2183"/>
    <mergeCell ref="D2181:H2181"/>
    <mergeCell ref="D2165:H2165"/>
    <mergeCell ref="D2177:H2177"/>
    <mergeCell ref="D2180:H2180"/>
    <mergeCell ref="D2171:H2171"/>
    <mergeCell ref="D2170:H2170"/>
    <mergeCell ref="D2184:H2184"/>
    <mergeCell ref="D2194:H2194"/>
    <mergeCell ref="D2070:H2070"/>
    <mergeCell ref="D2077:H2077"/>
    <mergeCell ref="D2163:H2163"/>
    <mergeCell ref="D2158:H2158"/>
    <mergeCell ref="D2154:H2154"/>
    <mergeCell ref="D2157:H2157"/>
    <mergeCell ref="D2155:H2155"/>
    <mergeCell ref="D2159:H2159"/>
    <mergeCell ref="D2056:H2056"/>
    <mergeCell ref="D2055:H2055"/>
    <mergeCell ref="D2059:H2059"/>
    <mergeCell ref="D2066:H2066"/>
    <mergeCell ref="D2061:H2061"/>
    <mergeCell ref="D2062:H2062"/>
    <mergeCell ref="D2063:H2063"/>
    <mergeCell ref="D2064:H2064"/>
    <mergeCell ref="D1923:H1923"/>
    <mergeCell ref="D1924:H1924"/>
    <mergeCell ref="D2069:H2069"/>
    <mergeCell ref="D2068:H2068"/>
    <mergeCell ref="D2057:H2057"/>
    <mergeCell ref="D2052:H2052"/>
    <mergeCell ref="D2053:H2053"/>
    <mergeCell ref="D2067:H2067"/>
    <mergeCell ref="D2058:H2058"/>
    <mergeCell ref="D2060:H2060"/>
    <mergeCell ref="D1901:H1901"/>
    <mergeCell ref="D1903:H1903"/>
    <mergeCell ref="D1906:H1906"/>
    <mergeCell ref="D1922:H1922"/>
    <mergeCell ref="D1904:H1904"/>
    <mergeCell ref="D1917:H1917"/>
    <mergeCell ref="D1914:H1914"/>
    <mergeCell ref="D1916:H1916"/>
    <mergeCell ref="D2041:H2041"/>
    <mergeCell ref="D2047:H2047"/>
    <mergeCell ref="D2043:H2043"/>
    <mergeCell ref="D1876:H1876"/>
    <mergeCell ref="D1886:H1886"/>
    <mergeCell ref="D1881:H1881"/>
    <mergeCell ref="D1910:H1910"/>
    <mergeCell ref="D2045:H2045"/>
    <mergeCell ref="D2046:H2046"/>
    <mergeCell ref="D1918:H1918"/>
    <mergeCell ref="D1874:H1874"/>
    <mergeCell ref="D1885:H1885"/>
    <mergeCell ref="D1877:H1877"/>
    <mergeCell ref="D1880:H1880"/>
    <mergeCell ref="D1875:H1875"/>
    <mergeCell ref="D1879:H1879"/>
    <mergeCell ref="D1883:H1883"/>
    <mergeCell ref="D1882:H1882"/>
    <mergeCell ref="D1878:H1878"/>
    <mergeCell ref="D1837:H1837"/>
    <mergeCell ref="D1862:H1862"/>
    <mergeCell ref="D1870:H1870"/>
    <mergeCell ref="D1859:H1859"/>
    <mergeCell ref="D1865:H1865"/>
    <mergeCell ref="D1864:H1864"/>
    <mergeCell ref="D1860:H1860"/>
    <mergeCell ref="D1861:H1861"/>
    <mergeCell ref="D1867:H1867"/>
    <mergeCell ref="D1868:H1868"/>
    <mergeCell ref="D1833:H1833"/>
    <mergeCell ref="D1834:H1834"/>
    <mergeCell ref="D1835:H1835"/>
    <mergeCell ref="D1836:H1836"/>
    <mergeCell ref="D1778:H1778"/>
    <mergeCell ref="D1846:H1846"/>
    <mergeCell ref="D1838:H1838"/>
    <mergeCell ref="D1840:H1840"/>
    <mergeCell ref="D1841:H1841"/>
    <mergeCell ref="D1845:H1845"/>
    <mergeCell ref="D1844:H1844"/>
    <mergeCell ref="D1839:H1839"/>
    <mergeCell ref="D1842:H1842"/>
    <mergeCell ref="D1843:H1843"/>
    <mergeCell ref="D1772:H1772"/>
    <mergeCell ref="D1775:H1775"/>
    <mergeCell ref="D1776:H1776"/>
    <mergeCell ref="D1777:H1777"/>
    <mergeCell ref="D1456:H1456"/>
    <mergeCell ref="D1458:H1458"/>
    <mergeCell ref="D1454:H1454"/>
    <mergeCell ref="D1459:H1459"/>
    <mergeCell ref="D1450:H1450"/>
    <mergeCell ref="D1449:H1449"/>
    <mergeCell ref="D1443:H1443"/>
    <mergeCell ref="D1445:H1445"/>
    <mergeCell ref="D1446:H1446"/>
    <mergeCell ref="D1448:H1448"/>
    <mergeCell ref="D1447:H1447"/>
    <mergeCell ref="D1488:H1488"/>
    <mergeCell ref="D1468:H1468"/>
    <mergeCell ref="D1489:H1489"/>
    <mergeCell ref="D1463:H1463"/>
    <mergeCell ref="D1467:H1467"/>
    <mergeCell ref="D1466:H1466"/>
    <mergeCell ref="D1464:H1464"/>
    <mergeCell ref="D1465:H1465"/>
    <mergeCell ref="D1487:H1487"/>
    <mergeCell ref="D1479:H1479"/>
    <mergeCell ref="D1451:H1451"/>
    <mergeCell ref="D1462:H1462"/>
    <mergeCell ref="D1476:H1476"/>
    <mergeCell ref="D1480:H1480"/>
    <mergeCell ref="D1478:H1478"/>
    <mergeCell ref="D1475:H1475"/>
    <mergeCell ref="D1477:H1477"/>
    <mergeCell ref="D1453:H1453"/>
    <mergeCell ref="D1457:H1457"/>
    <mergeCell ref="D1460:H1460"/>
    <mergeCell ref="D1481:H1481"/>
    <mergeCell ref="D1483:H1483"/>
    <mergeCell ref="D1509:H1509"/>
    <mergeCell ref="D1506:H1506"/>
    <mergeCell ref="D1496:H1496"/>
    <mergeCell ref="D1485:H1485"/>
    <mergeCell ref="D1482:H1482"/>
    <mergeCell ref="D1484:H1484"/>
    <mergeCell ref="D1486:H1486"/>
    <mergeCell ref="D1494:H1494"/>
    <mergeCell ref="D1521:H1521"/>
    <mergeCell ref="D1518:H1518"/>
    <mergeCell ref="D1512:H1512"/>
    <mergeCell ref="D1524:H1524"/>
    <mergeCell ref="D1493:H1493"/>
    <mergeCell ref="D1516:H1516"/>
    <mergeCell ref="D1519:H1519"/>
    <mergeCell ref="D1520:H1520"/>
    <mergeCell ref="D1503:H1503"/>
    <mergeCell ref="D1511:H1511"/>
    <mergeCell ref="D1500:H1500"/>
    <mergeCell ref="D1490:H1490"/>
    <mergeCell ref="D1505:H1505"/>
    <mergeCell ref="D1399:H1399"/>
    <mergeCell ref="D1400:H1400"/>
    <mergeCell ref="D1403:H1403"/>
    <mergeCell ref="D1414:H1414"/>
    <mergeCell ref="D1413:H1413"/>
    <mergeCell ref="D1424:H1424"/>
    <mergeCell ref="D1420:H1420"/>
    <mergeCell ref="D1452:H1452"/>
    <mergeCell ref="D1363:H1363"/>
    <mergeCell ref="D1360:H1360"/>
    <mergeCell ref="D1361:H1361"/>
    <mergeCell ref="D1366:H1366"/>
    <mergeCell ref="D1350:H1350"/>
    <mergeCell ref="D1351:H1351"/>
    <mergeCell ref="D1277:H1277"/>
    <mergeCell ref="D1296:H1296"/>
    <mergeCell ref="D1349:H1349"/>
    <mergeCell ref="D1306:H1306"/>
    <mergeCell ref="D1284:H1284"/>
    <mergeCell ref="D1331:H1331"/>
    <mergeCell ref="D1301:H1301"/>
    <mergeCell ref="D1334:H1334"/>
    <mergeCell ref="D1354:H1354"/>
    <mergeCell ref="D1356:H1356"/>
    <mergeCell ref="D1359:H1359"/>
    <mergeCell ref="D1355:H1355"/>
    <mergeCell ref="D1358:H1358"/>
    <mergeCell ref="D1357:H1357"/>
    <mergeCell ref="D1254:H1254"/>
    <mergeCell ref="D1269:H1269"/>
    <mergeCell ref="D1261:H1261"/>
    <mergeCell ref="D1282:H1282"/>
    <mergeCell ref="D1260:H1260"/>
    <mergeCell ref="D1272:H1272"/>
    <mergeCell ref="D1262:H1262"/>
    <mergeCell ref="D1273:H1273"/>
    <mergeCell ref="D1271:H1271"/>
    <mergeCell ref="D1275:H1275"/>
    <mergeCell ref="D1253:H1253"/>
    <mergeCell ref="D1313:H1313"/>
    <mergeCell ref="D1312:H1312"/>
    <mergeCell ref="D1285:H1285"/>
    <mergeCell ref="D1281:H1281"/>
    <mergeCell ref="D1257:H1257"/>
    <mergeCell ref="D1304:H1304"/>
    <mergeCell ref="D1283:H1283"/>
    <mergeCell ref="D1294:H1294"/>
    <mergeCell ref="E1292:H1292"/>
    <mergeCell ref="D1314:H1314"/>
    <mergeCell ref="D1318:H1318"/>
    <mergeCell ref="D1332:H1332"/>
    <mergeCell ref="D1326:H1326"/>
    <mergeCell ref="D1327:H1327"/>
    <mergeCell ref="D1320:H1320"/>
    <mergeCell ref="D1325:H1325"/>
    <mergeCell ref="D1319:H1319"/>
    <mergeCell ref="D1317:H1317"/>
    <mergeCell ref="D1315:H1315"/>
    <mergeCell ref="D1196:H1196"/>
    <mergeCell ref="D1209:H1209"/>
    <mergeCell ref="D1210:H1210"/>
    <mergeCell ref="E1237:H1237"/>
    <mergeCell ref="D1223:H1223"/>
    <mergeCell ref="D1214:H1214"/>
    <mergeCell ref="D1220:H1220"/>
    <mergeCell ref="D1213:H1213"/>
    <mergeCell ref="D1207:H1207"/>
    <mergeCell ref="D1208:H1208"/>
    <mergeCell ref="D1188:H1188"/>
    <mergeCell ref="D1191:H1191"/>
    <mergeCell ref="D1193:H1193"/>
    <mergeCell ref="D1204:H1204"/>
    <mergeCell ref="D1192:H1192"/>
    <mergeCell ref="D1190:H1190"/>
    <mergeCell ref="D1195:H1195"/>
    <mergeCell ref="D1194:H1194"/>
    <mergeCell ref="D1202:H1202"/>
    <mergeCell ref="D1203:H1203"/>
    <mergeCell ref="D1164:H1164"/>
    <mergeCell ref="D1171:H1171"/>
    <mergeCell ref="D1187:H1187"/>
    <mergeCell ref="D1186:H1186"/>
    <mergeCell ref="D1185:H1185"/>
    <mergeCell ref="D1173:H1173"/>
    <mergeCell ref="D1175:H1175"/>
    <mergeCell ref="D1183:H1183"/>
    <mergeCell ref="D1182:H1182"/>
    <mergeCell ref="D1172:H1172"/>
    <mergeCell ref="D1174:H1174"/>
    <mergeCell ref="D1178:H1178"/>
    <mergeCell ref="D1179:H1179"/>
    <mergeCell ref="D1177:H1177"/>
    <mergeCell ref="D1135:H1135"/>
    <mergeCell ref="D1154:H1154"/>
    <mergeCell ref="D1157:H1157"/>
    <mergeCell ref="D1176:H1176"/>
    <mergeCell ref="D1169:H1169"/>
    <mergeCell ref="D1170:H1170"/>
    <mergeCell ref="D1163:H1163"/>
    <mergeCell ref="D1165:H1165"/>
    <mergeCell ref="D1158:H1158"/>
    <mergeCell ref="D1167:H1167"/>
    <mergeCell ref="D1042:H1042"/>
    <mergeCell ref="D1040:H1040"/>
    <mergeCell ref="D1031:H1031"/>
    <mergeCell ref="D1033:H1033"/>
    <mergeCell ref="D1041:H1041"/>
    <mergeCell ref="D1036:H1036"/>
    <mergeCell ref="D1039:H1039"/>
    <mergeCell ref="D1038:H1038"/>
    <mergeCell ref="D1037:H1037"/>
    <mergeCell ref="D1035:H1035"/>
    <mergeCell ref="D929:H929"/>
    <mergeCell ref="D997:H997"/>
    <mergeCell ref="D932:H932"/>
    <mergeCell ref="D936:H936"/>
    <mergeCell ref="D931:H931"/>
    <mergeCell ref="D935:H935"/>
    <mergeCell ref="D934:H934"/>
    <mergeCell ref="D930:H930"/>
    <mergeCell ref="D933:H933"/>
    <mergeCell ref="D975:H975"/>
    <mergeCell ref="D910:H910"/>
    <mergeCell ref="D911:H911"/>
    <mergeCell ref="D921:H921"/>
    <mergeCell ref="D926:H926"/>
    <mergeCell ref="D922:H922"/>
    <mergeCell ref="D923:H923"/>
    <mergeCell ref="D924:H924"/>
    <mergeCell ref="D915:H915"/>
    <mergeCell ref="D920:H920"/>
    <mergeCell ref="D889:H889"/>
    <mergeCell ref="D892:H892"/>
    <mergeCell ref="D894:H894"/>
    <mergeCell ref="D890:H890"/>
    <mergeCell ref="D886:H886"/>
    <mergeCell ref="D884:H884"/>
    <mergeCell ref="D581:H581"/>
    <mergeCell ref="D637:H637"/>
    <mergeCell ref="D595:H595"/>
    <mergeCell ref="D594:H594"/>
    <mergeCell ref="D592:H592"/>
    <mergeCell ref="D599:H599"/>
    <mergeCell ref="D587:H587"/>
    <mergeCell ref="D614:H614"/>
    <mergeCell ref="D607:H607"/>
    <mergeCell ref="D585:H585"/>
    <mergeCell ref="D812:H812"/>
    <mergeCell ref="D584:H584"/>
    <mergeCell ref="D593:H593"/>
    <mergeCell ref="D591:H591"/>
    <mergeCell ref="D647:H647"/>
    <mergeCell ref="D649:H649"/>
    <mergeCell ref="D650:H650"/>
    <mergeCell ref="D609:H609"/>
    <mergeCell ref="D742:H742"/>
    <mergeCell ref="D743:H743"/>
    <mergeCell ref="D590:H590"/>
    <mergeCell ref="D589:H589"/>
    <mergeCell ref="D603:H603"/>
    <mergeCell ref="D598:H598"/>
    <mergeCell ref="D652:H652"/>
    <mergeCell ref="D653:H653"/>
    <mergeCell ref="D596:H596"/>
    <mergeCell ref="D608:H608"/>
    <mergeCell ref="D810:H810"/>
    <mergeCell ref="D739:H739"/>
    <mergeCell ref="D727:H727"/>
    <mergeCell ref="D728:H728"/>
    <mergeCell ref="D740:H740"/>
    <mergeCell ref="D741:H741"/>
    <mergeCell ref="D737:H737"/>
    <mergeCell ref="D776:H776"/>
    <mergeCell ref="D799:H799"/>
    <mergeCell ref="D802:H802"/>
    <mergeCell ref="D644:H644"/>
    <mergeCell ref="D624:H624"/>
    <mergeCell ref="D621:H621"/>
    <mergeCell ref="D623:H623"/>
    <mergeCell ref="D632:H632"/>
    <mergeCell ref="D615:H615"/>
    <mergeCell ref="D657:H657"/>
    <mergeCell ref="D600:H600"/>
    <mergeCell ref="D617:H617"/>
    <mergeCell ref="D611:H611"/>
    <mergeCell ref="D619:H619"/>
    <mergeCell ref="D613:H613"/>
    <mergeCell ref="D610:H610"/>
    <mergeCell ref="D606:H606"/>
    <mergeCell ref="D656:H656"/>
    <mergeCell ref="D605:H605"/>
    <mergeCell ref="D725:H725"/>
    <mergeCell ref="D726:H726"/>
    <mergeCell ref="D735:H735"/>
    <mergeCell ref="D629:H629"/>
    <mergeCell ref="D724:H724"/>
    <mergeCell ref="D631:H631"/>
    <mergeCell ref="D635:H635"/>
    <mergeCell ref="D636:H636"/>
    <mergeCell ref="D715:H715"/>
    <mergeCell ref="D654:H654"/>
    <mergeCell ref="D734:H734"/>
    <mergeCell ref="D492:H492"/>
    <mergeCell ref="D489:H489"/>
    <mergeCell ref="D568:H568"/>
    <mergeCell ref="D586:H586"/>
    <mergeCell ref="D562:H562"/>
    <mergeCell ref="D564:H564"/>
    <mergeCell ref="D577:H577"/>
    <mergeCell ref="D580:H580"/>
    <mergeCell ref="D578:H578"/>
    <mergeCell ref="D579:H579"/>
    <mergeCell ref="D638:H638"/>
    <mergeCell ref="D625:H625"/>
    <mergeCell ref="D626:H626"/>
    <mergeCell ref="D630:H630"/>
    <mergeCell ref="D634:H634"/>
    <mergeCell ref="D633:H633"/>
    <mergeCell ref="D628:H628"/>
    <mergeCell ref="D627:H627"/>
    <mergeCell ref="D406:H406"/>
    <mergeCell ref="D404:H404"/>
    <mergeCell ref="D399:H399"/>
    <mergeCell ref="D411:H411"/>
    <mergeCell ref="D407:H407"/>
    <mergeCell ref="D410:H410"/>
    <mergeCell ref="D402:H402"/>
    <mergeCell ref="D401:H401"/>
    <mergeCell ref="D408:H408"/>
    <mergeCell ref="D409:H409"/>
    <mergeCell ref="D395:H395"/>
    <mergeCell ref="D397:H397"/>
    <mergeCell ref="D400:H400"/>
    <mergeCell ref="D387:H387"/>
    <mergeCell ref="D392:H392"/>
    <mergeCell ref="D391:H391"/>
    <mergeCell ref="D396:H396"/>
    <mergeCell ref="D389:H389"/>
    <mergeCell ref="D390:H390"/>
    <mergeCell ref="D388:H388"/>
    <mergeCell ref="D196:H196"/>
    <mergeCell ref="D342:H342"/>
    <mergeCell ref="D343:H343"/>
    <mergeCell ref="D341:H341"/>
    <mergeCell ref="D294:H294"/>
    <mergeCell ref="D292:H292"/>
    <mergeCell ref="D289:H289"/>
    <mergeCell ref="D290:H290"/>
    <mergeCell ref="D332:H332"/>
    <mergeCell ref="D258:H258"/>
    <mergeCell ref="D186:H186"/>
    <mergeCell ref="D184:H184"/>
    <mergeCell ref="D192:H192"/>
    <mergeCell ref="D195:H195"/>
    <mergeCell ref="D191:H191"/>
    <mergeCell ref="D190:H190"/>
    <mergeCell ref="D194:H194"/>
    <mergeCell ref="D193:H193"/>
    <mergeCell ref="D187:H187"/>
    <mergeCell ref="D189:H189"/>
    <mergeCell ref="D174:H174"/>
    <mergeCell ref="D175:H175"/>
    <mergeCell ref="D176:H176"/>
    <mergeCell ref="D185:H185"/>
    <mergeCell ref="D177:H177"/>
    <mergeCell ref="D178:H178"/>
    <mergeCell ref="D179:H179"/>
    <mergeCell ref="D180:H180"/>
    <mergeCell ref="D181:H181"/>
    <mergeCell ref="D157:H157"/>
    <mergeCell ref="D165:H165"/>
    <mergeCell ref="D158:H158"/>
    <mergeCell ref="D159:H159"/>
    <mergeCell ref="D160:H160"/>
    <mergeCell ref="D161:H161"/>
    <mergeCell ref="D162:H162"/>
    <mergeCell ref="D166:H166"/>
    <mergeCell ref="D168:H168"/>
    <mergeCell ref="D169:H169"/>
    <mergeCell ref="D170:H170"/>
    <mergeCell ref="D171:H171"/>
    <mergeCell ref="D172:H172"/>
    <mergeCell ref="D173:H173"/>
    <mergeCell ref="D1144:H1144"/>
    <mergeCell ref="D1132:H1132"/>
    <mergeCell ref="D1136:H1136"/>
    <mergeCell ref="D1108:H1108"/>
    <mergeCell ref="D778:H778"/>
    <mergeCell ref="D797:H797"/>
    <mergeCell ref="D791:H791"/>
    <mergeCell ref="D1148:H1148"/>
    <mergeCell ref="D1146:H1146"/>
    <mergeCell ref="D2449:H2449"/>
    <mergeCell ref="D2408:H2408"/>
    <mergeCell ref="D2395:H2395"/>
    <mergeCell ref="D2393:H2393"/>
    <mergeCell ref="D2396:H2396"/>
    <mergeCell ref="D2401:H2401"/>
    <mergeCell ref="D2429:H2429"/>
    <mergeCell ref="D1153:H1153"/>
    <mergeCell ref="D1147:H1147"/>
    <mergeCell ref="D1133:H1133"/>
    <mergeCell ref="D1142:H1142"/>
    <mergeCell ref="D1138:H1138"/>
    <mergeCell ref="D1141:H1141"/>
    <mergeCell ref="D1134:H1134"/>
    <mergeCell ref="D1145:H1145"/>
    <mergeCell ref="D1137:H1137"/>
    <mergeCell ref="D1139:H1139"/>
    <mergeCell ref="D1140:H1140"/>
    <mergeCell ref="D1149:H1149"/>
    <mergeCell ref="D1150:H1150"/>
    <mergeCell ref="D1168:H1168"/>
    <mergeCell ref="D1156:H1156"/>
    <mergeCell ref="D1151:H1151"/>
    <mergeCell ref="D1152:H1152"/>
    <mergeCell ref="D1155:H1155"/>
    <mergeCell ref="D1159:H1159"/>
    <mergeCell ref="D1160:H1160"/>
    <mergeCell ref="D1166:H1166"/>
    <mergeCell ref="D1105:H1105"/>
    <mergeCell ref="D1117:H1117"/>
    <mergeCell ref="D1112:H1112"/>
    <mergeCell ref="D1113:H1113"/>
    <mergeCell ref="D1114:H1114"/>
    <mergeCell ref="D1106:H1106"/>
    <mergeCell ref="D1109:H1109"/>
    <mergeCell ref="D1110:H1110"/>
    <mergeCell ref="D1115:H1115"/>
    <mergeCell ref="D1116:H1116"/>
    <mergeCell ref="D1104:H1104"/>
    <mergeCell ref="D1100:H1100"/>
    <mergeCell ref="D1103:H1103"/>
    <mergeCell ref="D1102:H1102"/>
    <mergeCell ref="D1402:H1402"/>
    <mergeCell ref="D1461:H1461"/>
    <mergeCell ref="D1439:H1439"/>
    <mergeCell ref="D1421:H1421"/>
    <mergeCell ref="D1432:H1432"/>
    <mergeCell ref="D1422:H1422"/>
    <mergeCell ref="D1428:H1428"/>
    <mergeCell ref="D1440:H1440"/>
    <mergeCell ref="D1425:H1425"/>
    <mergeCell ref="D1442:H1442"/>
    <mergeCell ref="D2318:H2318"/>
    <mergeCell ref="D2290:H2290"/>
    <mergeCell ref="D2273:H2273"/>
    <mergeCell ref="D2297:H2297"/>
    <mergeCell ref="D2278:H2278"/>
    <mergeCell ref="D2279:H2279"/>
    <mergeCell ref="D2280:H2280"/>
    <mergeCell ref="D2291:H2291"/>
    <mergeCell ref="D2295:H2295"/>
    <mergeCell ref="D2288:H2288"/>
    <mergeCell ref="D2587:H2587"/>
    <mergeCell ref="D2588:H2588"/>
    <mergeCell ref="D2602:H2602"/>
    <mergeCell ref="D2592:H2592"/>
    <mergeCell ref="D2591:H2591"/>
    <mergeCell ref="D2590:H2590"/>
    <mergeCell ref="D2603:H2603"/>
    <mergeCell ref="D2597:H2597"/>
    <mergeCell ref="D2598:H2598"/>
    <mergeCell ref="D2604:H2604"/>
    <mergeCell ref="D2605:H2605"/>
    <mergeCell ref="D2640:H2640"/>
    <mergeCell ref="D2678:H2678"/>
    <mergeCell ref="D2861:H2861"/>
    <mergeCell ref="D2623:H2623"/>
    <mergeCell ref="D2697:H2697"/>
    <mergeCell ref="D2646:H2646"/>
    <mergeCell ref="D2658:H2658"/>
    <mergeCell ref="D2659:H2659"/>
    <mergeCell ref="D2660:H2660"/>
    <mergeCell ref="D2818:H2818"/>
    <mergeCell ref="D2821:H2821"/>
    <mergeCell ref="D2696:H2696"/>
    <mergeCell ref="D2927:H2927"/>
    <mergeCell ref="D2857:H2857"/>
    <mergeCell ref="D2860:H2860"/>
    <mergeCell ref="D2862:H2862"/>
    <mergeCell ref="D2859:H2859"/>
    <mergeCell ref="D2858:H2858"/>
    <mergeCell ref="D2782:H2782"/>
    <mergeCell ref="D2910:H2910"/>
    <mergeCell ref="D2891:H2891"/>
    <mergeCell ref="D2890:H2890"/>
    <mergeCell ref="D2867:H2867"/>
    <mergeCell ref="D2868:H2868"/>
    <mergeCell ref="D2878:H2878"/>
    <mergeCell ref="D2880:H2880"/>
    <mergeCell ref="D2882:H2882"/>
    <mergeCell ref="D2892:H2892"/>
    <mergeCell ref="D2907:H2907"/>
    <mergeCell ref="D2814:H2814"/>
    <mergeCell ref="D2801:H2801"/>
    <mergeCell ref="D2799:H2799"/>
    <mergeCell ref="D2693:H2693"/>
    <mergeCell ref="D2694:H2694"/>
    <mergeCell ref="D2751:H2751"/>
    <mergeCell ref="D2752:H2752"/>
    <mergeCell ref="D2784:H2784"/>
    <mergeCell ref="D2776:H2776"/>
    <mergeCell ref="D2777:H2777"/>
    <mergeCell ref="D2792:H2792"/>
    <mergeCell ref="D2807:H2807"/>
    <mergeCell ref="D2804:H2804"/>
    <mergeCell ref="D2805:H2805"/>
    <mergeCell ref="D2866:H2866"/>
    <mergeCell ref="D2854:H2854"/>
    <mergeCell ref="D2876:H2876"/>
    <mergeCell ref="D2864:H2864"/>
    <mergeCell ref="D2863:H2863"/>
    <mergeCell ref="D2865:H2865"/>
    <mergeCell ref="D2874:H2874"/>
    <mergeCell ref="D2875:H2875"/>
    <mergeCell ref="D2872:H2872"/>
    <mergeCell ref="D2871:H2871"/>
    <mergeCell ref="D2945:H2945"/>
    <mergeCell ref="D2947:H2947"/>
    <mergeCell ref="D2944:H2944"/>
    <mergeCell ref="D2946:H2946"/>
    <mergeCell ref="D2948:H2948"/>
    <mergeCell ref="D2796:H2796"/>
    <mergeCell ref="D2809:H2809"/>
    <mergeCell ref="D2928:H2928"/>
    <mergeCell ref="D2931:H2931"/>
    <mergeCell ref="D2929:H2929"/>
    <mergeCell ref="D2922:H2922"/>
    <mergeCell ref="D2923:H2923"/>
    <mergeCell ref="D2925:H2925"/>
    <mergeCell ref="D2823:H2823"/>
    <mergeCell ref="D2837:H2837"/>
    <mergeCell ref="D2803:H2803"/>
    <mergeCell ref="D2800:H2800"/>
    <mergeCell ref="D2797:H2797"/>
    <mergeCell ref="D2811:H2811"/>
    <mergeCell ref="D2828:H2828"/>
    <mergeCell ref="D2816:H2816"/>
    <mergeCell ref="D2815:H2815"/>
    <mergeCell ref="D2810:H2810"/>
    <mergeCell ref="D2819:H2819"/>
    <mergeCell ref="D2701:H2701"/>
    <mergeCell ref="D2754:H2754"/>
    <mergeCell ref="D2703:H2703"/>
    <mergeCell ref="D2789:H2789"/>
    <mergeCell ref="D2778:H2778"/>
    <mergeCell ref="D2780:H2780"/>
    <mergeCell ref="D2781:H2781"/>
    <mergeCell ref="D2757:H2757"/>
    <mergeCell ref="D2760:H2760"/>
    <mergeCell ref="D2761:H2761"/>
    <mergeCell ref="D2683:H2683"/>
    <mergeCell ref="D2684:H2684"/>
    <mergeCell ref="D2691:H2691"/>
    <mergeCell ref="D2698:H2698"/>
    <mergeCell ref="D2692:H2692"/>
    <mergeCell ref="D2685:H2685"/>
    <mergeCell ref="D2050:H2050"/>
    <mergeCell ref="D2048:H2048"/>
    <mergeCell ref="D2049:H2049"/>
    <mergeCell ref="D2054:H2054"/>
    <mergeCell ref="D2051:H2051"/>
    <mergeCell ref="D2679:H2679"/>
    <mergeCell ref="D2680:H2680"/>
    <mergeCell ref="D2040:H2040"/>
    <mergeCell ref="D2624:H2624"/>
    <mergeCell ref="D2625:H2625"/>
    <mergeCell ref="D2638:H2638"/>
    <mergeCell ref="D2637:H2637"/>
    <mergeCell ref="D2639:H2639"/>
    <mergeCell ref="D2539:H2539"/>
    <mergeCell ref="D2540:H2540"/>
    <mergeCell ref="D2039:H2039"/>
    <mergeCell ref="D2032:H2032"/>
    <mergeCell ref="D2035:H2035"/>
    <mergeCell ref="D2028:H2028"/>
    <mergeCell ref="D2030:H2030"/>
    <mergeCell ref="D2033:H2033"/>
    <mergeCell ref="D2037:H2037"/>
    <mergeCell ref="D2038:H2038"/>
    <mergeCell ref="D2036:H2036"/>
    <mergeCell ref="D1899:H1899"/>
    <mergeCell ref="D1891:H1891"/>
    <mergeCell ref="D1894:H1894"/>
    <mergeCell ref="D1895:H1895"/>
    <mergeCell ref="D1896:H1896"/>
    <mergeCell ref="D1892:H1892"/>
    <mergeCell ref="D1795:H1795"/>
    <mergeCell ref="D1538:H1538"/>
    <mergeCell ref="D1544:H1544"/>
    <mergeCell ref="D1545:H1545"/>
    <mergeCell ref="D1559:H1559"/>
    <mergeCell ref="D1782:H1782"/>
    <mergeCell ref="D1789:H1789"/>
    <mergeCell ref="D1785:H1785"/>
    <mergeCell ref="D1784:H1784"/>
    <mergeCell ref="D1780:H1780"/>
    <mergeCell ref="D1533:H1533"/>
    <mergeCell ref="D1534:H1534"/>
    <mergeCell ref="D1542:H1542"/>
    <mergeCell ref="D1539:H1539"/>
    <mergeCell ref="D1541:H1541"/>
    <mergeCell ref="D1537:H1537"/>
    <mergeCell ref="D1535:H1535"/>
    <mergeCell ref="D1536:H1536"/>
    <mergeCell ref="D1297:H1297"/>
    <mergeCell ref="D1289:H1289"/>
    <mergeCell ref="D1295:H1295"/>
    <mergeCell ref="D1300:H1300"/>
    <mergeCell ref="D1298:H1298"/>
    <mergeCell ref="D1299:H1299"/>
    <mergeCell ref="D1290:H1290"/>
    <mergeCell ref="D1293:H1293"/>
    <mergeCell ref="D1241:H1241"/>
    <mergeCell ref="D1291:H1291"/>
    <mergeCell ref="D1279:H1279"/>
    <mergeCell ref="D1280:H1280"/>
    <mergeCell ref="D1258:H1258"/>
    <mergeCell ref="D1270:H1270"/>
    <mergeCell ref="D1286:H1286"/>
    <mergeCell ref="D1288:H1288"/>
    <mergeCell ref="D1259:H1259"/>
    <mergeCell ref="D1287:H1287"/>
    <mergeCell ref="D787:H787"/>
    <mergeCell ref="D783:H783"/>
    <mergeCell ref="D781:H781"/>
    <mergeCell ref="D795:H795"/>
    <mergeCell ref="D790:H790"/>
    <mergeCell ref="D792:H792"/>
    <mergeCell ref="D793:H793"/>
    <mergeCell ref="D782:H782"/>
    <mergeCell ref="D788:H788"/>
    <mergeCell ref="D785:H785"/>
    <mergeCell ref="D796:H796"/>
    <mergeCell ref="D794:H794"/>
    <mergeCell ref="D1197:H1197"/>
    <mergeCell ref="D1184:H1184"/>
    <mergeCell ref="D1189:H1189"/>
    <mergeCell ref="D1009:H1009"/>
    <mergeCell ref="D1090:H1090"/>
    <mergeCell ref="D1091:H1091"/>
    <mergeCell ref="D1071:H1071"/>
    <mergeCell ref="D1072:H1072"/>
    <mergeCell ref="D1126:H1126"/>
    <mergeCell ref="D296:H296"/>
    <mergeCell ref="D297:H297"/>
    <mergeCell ref="D322:H322"/>
    <mergeCell ref="D301:H301"/>
    <mergeCell ref="D313:H313"/>
    <mergeCell ref="D314:H314"/>
    <mergeCell ref="D298:H298"/>
    <mergeCell ref="D315:H315"/>
    <mergeCell ref="D307:H307"/>
    <mergeCell ref="D308:H308"/>
    <mergeCell ref="D268:H268"/>
    <mergeCell ref="D288:H288"/>
    <mergeCell ref="D286:H286"/>
    <mergeCell ref="D287:H287"/>
    <mergeCell ref="D278:H278"/>
    <mergeCell ref="D284:H284"/>
    <mergeCell ref="D283:H283"/>
    <mergeCell ref="D273:H273"/>
    <mergeCell ref="D269:H269"/>
    <mergeCell ref="D277:H277"/>
    <mergeCell ref="D254:H254"/>
    <mergeCell ref="D259:H259"/>
    <mergeCell ref="D260:H260"/>
    <mergeCell ref="D266:H266"/>
    <mergeCell ref="D263:H263"/>
    <mergeCell ref="D257:H257"/>
    <mergeCell ref="D255:H255"/>
    <mergeCell ref="D256:H256"/>
    <mergeCell ref="D264:H264"/>
    <mergeCell ref="D252:H252"/>
    <mergeCell ref="D253:H253"/>
    <mergeCell ref="D250:H250"/>
    <mergeCell ref="D251:H251"/>
    <mergeCell ref="D267:H267"/>
    <mergeCell ref="D236:H236"/>
    <mergeCell ref="D233:H233"/>
    <mergeCell ref="D234:H234"/>
    <mergeCell ref="D247:H247"/>
    <mergeCell ref="D240:H240"/>
    <mergeCell ref="D237:H237"/>
    <mergeCell ref="D238:H238"/>
    <mergeCell ref="D235:H235"/>
    <mergeCell ref="D246:H246"/>
    <mergeCell ref="D270:H270"/>
    <mergeCell ref="D230:H230"/>
    <mergeCell ref="D362:H362"/>
    <mergeCell ref="D244:H244"/>
    <mergeCell ref="D248:H248"/>
    <mergeCell ref="D348:H348"/>
    <mergeCell ref="D324:H324"/>
    <mergeCell ref="D320:H320"/>
    <mergeCell ref="D282:H282"/>
    <mergeCell ref="D265:H265"/>
    <mergeCell ref="D360:H360"/>
    <mergeCell ref="D2905:H2905"/>
    <mergeCell ref="D2897:H2897"/>
    <mergeCell ref="D2902:H2902"/>
    <mergeCell ref="D2898:H2898"/>
    <mergeCell ref="D2899:H2899"/>
    <mergeCell ref="D2900:H2900"/>
    <mergeCell ref="D2904:H2904"/>
    <mergeCell ref="D2901:H2901"/>
    <mergeCell ref="D2903:H2903"/>
    <mergeCell ref="D3040:H3040"/>
    <mergeCell ref="D3023:H3023"/>
    <mergeCell ref="D3024:H3024"/>
    <mergeCell ref="D3025:H3025"/>
    <mergeCell ref="D3026:H3026"/>
    <mergeCell ref="D3032:H3032"/>
    <mergeCell ref="D3033:H3033"/>
    <mergeCell ref="D3027:H3027"/>
    <mergeCell ref="D3036:H3036"/>
    <mergeCell ref="D3029:H3029"/>
    <mergeCell ref="D3042:H3042"/>
    <mergeCell ref="D3046:H3046"/>
    <mergeCell ref="D3043:H3043"/>
    <mergeCell ref="D3045:H3045"/>
    <mergeCell ref="D3017:H3017"/>
    <mergeCell ref="D3018:H3018"/>
    <mergeCell ref="D3022:H3022"/>
    <mergeCell ref="D3028:H3028"/>
    <mergeCell ref="D3030:H3030"/>
    <mergeCell ref="D3019:H3019"/>
    <mergeCell ref="D3020:H3020"/>
    <mergeCell ref="D2706:H2706"/>
    <mergeCell ref="D2879:H2879"/>
    <mergeCell ref="D2884:H2884"/>
    <mergeCell ref="D2885:H2885"/>
    <mergeCell ref="D2886:H2886"/>
    <mergeCell ref="D2889:H2889"/>
    <mergeCell ref="D2887:H2887"/>
    <mergeCell ref="D3014:H3014"/>
    <mergeCell ref="D2893:H2893"/>
    <mergeCell ref="D2909:H2909"/>
    <mergeCell ref="D2894:H2894"/>
    <mergeCell ref="D2895:H2895"/>
    <mergeCell ref="D2896:H2896"/>
    <mergeCell ref="D3013:H3013"/>
    <mergeCell ref="D2926:H2926"/>
    <mergeCell ref="D2917:H2917"/>
    <mergeCell ref="D2954:H2954"/>
    <mergeCell ref="D2960:H2960"/>
    <mergeCell ref="D2963:H2963"/>
    <mergeCell ref="D3002:H3002"/>
    <mergeCell ref="D3003:H3003"/>
    <mergeCell ref="D2985:H2985"/>
    <mergeCell ref="D2965:H2965"/>
    <mergeCell ref="D2966:H2966"/>
    <mergeCell ref="D2973:H2973"/>
    <mergeCell ref="D2974:H2974"/>
    <mergeCell ref="D2999:H2999"/>
    <mergeCell ref="D3012:H3012"/>
    <mergeCell ref="D3010:H3010"/>
    <mergeCell ref="D2988:H2988"/>
    <mergeCell ref="D2992:H2992"/>
    <mergeCell ref="D2989:H2989"/>
    <mergeCell ref="D2993:H2993"/>
    <mergeCell ref="D2990:H2990"/>
    <mergeCell ref="D2998:H2998"/>
    <mergeCell ref="D2994:H2994"/>
    <mergeCell ref="D3000:H3000"/>
    <mergeCell ref="D2585:H2585"/>
    <mergeCell ref="D2121:H2121"/>
    <mergeCell ref="D2128:H2128"/>
    <mergeCell ref="D2574:H2574"/>
    <mergeCell ref="D2576:H2576"/>
    <mergeCell ref="D2583:H2583"/>
    <mergeCell ref="D2320:H2320"/>
    <mergeCell ref="D2556:H2556"/>
    <mergeCell ref="D2549:H2549"/>
    <mergeCell ref="D2541:H2541"/>
    <mergeCell ref="D2575:H2575"/>
    <mergeCell ref="D1549:H1549"/>
    <mergeCell ref="D1543:H1543"/>
    <mergeCell ref="D1556:H1556"/>
    <mergeCell ref="D1551:H1551"/>
    <mergeCell ref="D1552:H1552"/>
    <mergeCell ref="D1553:H1553"/>
    <mergeCell ref="D1546:H1546"/>
    <mergeCell ref="D1677:H1677"/>
    <mergeCell ref="D1663:H1663"/>
    <mergeCell ref="D1550:H1550"/>
    <mergeCell ref="D1474:H1474"/>
    <mergeCell ref="D1470:H1470"/>
    <mergeCell ref="D1873:H1873"/>
    <mergeCell ref="D1472:H1472"/>
    <mergeCell ref="D1471:H1471"/>
    <mergeCell ref="D1526:H1526"/>
    <mergeCell ref="D1666:H1666"/>
    <mergeCell ref="D1527:H1527"/>
    <mergeCell ref="D1540:H1540"/>
    <mergeCell ref="D2533:H2533"/>
    <mergeCell ref="D1302:H1302"/>
    <mergeCell ref="D1307:H1307"/>
    <mergeCell ref="D1321:H1321"/>
    <mergeCell ref="D1311:H1311"/>
    <mergeCell ref="D1324:H1324"/>
    <mergeCell ref="D1557:H1557"/>
    <mergeCell ref="D1323:H1323"/>
    <mergeCell ref="D1469:H1469"/>
    <mergeCell ref="D1303:H1303"/>
    <mergeCell ref="D1251:H1251"/>
    <mergeCell ref="D1239:H1239"/>
    <mergeCell ref="D1246:H1246"/>
    <mergeCell ref="D1232:H1232"/>
    <mergeCell ref="D1236:H1236"/>
    <mergeCell ref="D1240:H1240"/>
    <mergeCell ref="D1250:H1250"/>
    <mergeCell ref="D1242:H1242"/>
    <mergeCell ref="D1244:H1244"/>
    <mergeCell ref="D1245:H1245"/>
    <mergeCell ref="D775:H775"/>
    <mergeCell ref="D780:H780"/>
    <mergeCell ref="D1502:H1502"/>
    <mergeCell ref="D1515:H1515"/>
    <mergeCell ref="D1211:H1211"/>
    <mergeCell ref="D1222:H1222"/>
    <mergeCell ref="D1221:H1221"/>
    <mergeCell ref="D1217:H1217"/>
    <mergeCell ref="D1513:H1513"/>
    <mergeCell ref="D1514:H1514"/>
    <mergeCell ref="D1531:H1531"/>
    <mergeCell ref="D1525:H1525"/>
    <mergeCell ref="D1532:H1532"/>
    <mergeCell ref="D1504:H1504"/>
    <mergeCell ref="D1507:H1507"/>
    <mergeCell ref="D1508:H1508"/>
    <mergeCell ref="D1530:H1530"/>
    <mergeCell ref="D1523:H1523"/>
    <mergeCell ref="D1517:H1517"/>
    <mergeCell ref="D1522:H1522"/>
    <mergeCell ref="D2342:H2342"/>
    <mergeCell ref="D2338:H2338"/>
    <mergeCell ref="D2337:H2337"/>
    <mergeCell ref="D2341:H2341"/>
    <mergeCell ref="D2340:H2340"/>
    <mergeCell ref="D1305:H1305"/>
    <mergeCell ref="D1309:H1309"/>
    <mergeCell ref="D1226:H1226"/>
    <mergeCell ref="D1233:H1233"/>
    <mergeCell ref="D1243:H1243"/>
    <mergeCell ref="D1278:H1278"/>
    <mergeCell ref="D1252:H1252"/>
    <mergeCell ref="D1247:H1247"/>
    <mergeCell ref="D1248:H1248"/>
    <mergeCell ref="D1249:H1249"/>
    <mergeCell ref="D1206:H1206"/>
    <mergeCell ref="D1229:H1229"/>
    <mergeCell ref="D1230:H1230"/>
    <mergeCell ref="D1231:H1231"/>
    <mergeCell ref="D1225:H1225"/>
    <mergeCell ref="D1212:H1212"/>
    <mergeCell ref="D1216:H1216"/>
    <mergeCell ref="D1316:H1316"/>
    <mergeCell ref="D1308:H1308"/>
    <mergeCell ref="D2388:H2388"/>
    <mergeCell ref="D2131:H2131"/>
    <mergeCell ref="D2130:H2130"/>
    <mergeCell ref="D2356:H2356"/>
    <mergeCell ref="D2382:H2382"/>
    <mergeCell ref="D2381:H2381"/>
    <mergeCell ref="D2368:H2368"/>
    <mergeCell ref="D2369:H2369"/>
    <mergeCell ref="D2400:H2400"/>
    <mergeCell ref="D2532:H2532"/>
    <mergeCell ref="D2518:H2518"/>
    <mergeCell ref="D2517:H2517"/>
    <mergeCell ref="D2417:H2417"/>
    <mergeCell ref="D2418:H2418"/>
    <mergeCell ref="D2413:H2413"/>
    <mergeCell ref="D2480:H2480"/>
    <mergeCell ref="D2470:H2470"/>
    <mergeCell ref="D2434:H2434"/>
    <mergeCell ref="D2404:H2404"/>
    <mergeCell ref="D2394:H2394"/>
    <mergeCell ref="D2412:H2412"/>
    <mergeCell ref="D2653:H2653"/>
    <mergeCell ref="D2651:H2651"/>
    <mergeCell ref="D2647:H2647"/>
    <mergeCell ref="D2642:H2642"/>
    <mergeCell ref="D2652:H2652"/>
    <mergeCell ref="D2648:H2648"/>
    <mergeCell ref="D2645:H2645"/>
    <mergeCell ref="D2649:H2649"/>
    <mergeCell ref="D2650:H2650"/>
    <mergeCell ref="D2641:H2641"/>
    <mergeCell ref="D2415:H2415"/>
    <mergeCell ref="D2580:H2580"/>
    <mergeCell ref="D2512:H2512"/>
    <mergeCell ref="D2513:H2513"/>
    <mergeCell ref="D2514:H2514"/>
    <mergeCell ref="D2524:H2524"/>
    <mergeCell ref="D2569:H2569"/>
    <mergeCell ref="D2475:H2475"/>
    <mergeCell ref="D2476:H2476"/>
    <mergeCell ref="D2447:H2447"/>
    <mergeCell ref="D2515:H2515"/>
    <mergeCell ref="D2481:H2481"/>
    <mergeCell ref="D2466:H2466"/>
    <mergeCell ref="D2467:H2467"/>
    <mergeCell ref="D2464:H2464"/>
    <mergeCell ref="D2478:H2478"/>
    <mergeCell ref="D2471:H2471"/>
    <mergeCell ref="D2482:H2482"/>
    <mergeCell ref="D2377:H2377"/>
    <mergeCell ref="D2379:H2379"/>
    <mergeCell ref="D2380:H2380"/>
    <mergeCell ref="D2410:H2410"/>
    <mergeCell ref="D2414:H2414"/>
    <mergeCell ref="D2411:H2411"/>
    <mergeCell ref="D2391:H2391"/>
    <mergeCell ref="D2385:H2385"/>
    <mergeCell ref="D2387:H2387"/>
    <mergeCell ref="D2584:H2584"/>
    <mergeCell ref="D2572:H2572"/>
    <mergeCell ref="D2529:H2529"/>
    <mergeCell ref="D2530:H2530"/>
    <mergeCell ref="D2536:H2536"/>
    <mergeCell ref="D2581:H2581"/>
    <mergeCell ref="D2582:H2582"/>
    <mergeCell ref="D2538:H2538"/>
    <mergeCell ref="D2570:H2570"/>
    <mergeCell ref="D2578:H2578"/>
    <mergeCell ref="D2346:H2346"/>
    <mergeCell ref="D2348:H2348"/>
    <mergeCell ref="D2349:H2349"/>
    <mergeCell ref="D2373:H2373"/>
    <mergeCell ref="D2358:H2358"/>
    <mergeCell ref="D2364:H2364"/>
    <mergeCell ref="D2367:H2367"/>
    <mergeCell ref="D2351:H2351"/>
    <mergeCell ref="D2347:H2347"/>
    <mergeCell ref="D2350:H2350"/>
    <mergeCell ref="D2359:H2359"/>
    <mergeCell ref="D2207:H2207"/>
    <mergeCell ref="D2208:H2208"/>
    <mergeCell ref="D2214:H2214"/>
    <mergeCell ref="D2216:H2216"/>
    <mergeCell ref="D2211:H2211"/>
    <mergeCell ref="D2212:H2212"/>
    <mergeCell ref="D2213:H2213"/>
    <mergeCell ref="D2226:H2226"/>
    <mergeCell ref="D2234:H2234"/>
    <mergeCell ref="D373:H373"/>
    <mergeCell ref="D377:H377"/>
    <mergeCell ref="D384:H384"/>
    <mergeCell ref="D385:H385"/>
    <mergeCell ref="D382:H382"/>
    <mergeCell ref="D383:H383"/>
    <mergeCell ref="D378:H378"/>
    <mergeCell ref="D386:H386"/>
    <mergeCell ref="D381:H381"/>
    <mergeCell ref="D572:H572"/>
    <mergeCell ref="D573:H573"/>
    <mergeCell ref="D571:H571"/>
    <mergeCell ref="D569:H569"/>
    <mergeCell ref="D570:H570"/>
    <mergeCell ref="D561:H561"/>
    <mergeCell ref="D529:H529"/>
    <mergeCell ref="D567:H567"/>
    <mergeCell ref="D769:H769"/>
    <mergeCell ref="D762:H762"/>
    <mergeCell ref="D767:H767"/>
    <mergeCell ref="D763:H763"/>
    <mergeCell ref="D764:H764"/>
    <mergeCell ref="D765:H765"/>
    <mergeCell ref="D766:H766"/>
    <mergeCell ref="D574:H574"/>
    <mergeCell ref="D777:H777"/>
    <mergeCell ref="D655:H655"/>
    <mergeCell ref="D612:H612"/>
    <mergeCell ref="D759:H759"/>
    <mergeCell ref="D755:H755"/>
    <mergeCell ref="D597:H597"/>
    <mergeCell ref="D770:H770"/>
    <mergeCell ref="D575:H575"/>
    <mergeCell ref="D768:H768"/>
    <mergeCell ref="D359:H359"/>
    <mergeCell ref="D361:H361"/>
    <mergeCell ref="D565:H565"/>
    <mergeCell ref="D566:H566"/>
    <mergeCell ref="D553:H553"/>
    <mergeCell ref="D363:H363"/>
    <mergeCell ref="D365:H365"/>
    <mergeCell ref="D371:H371"/>
    <mergeCell ref="D374:H374"/>
    <mergeCell ref="D372:H372"/>
    <mergeCell ref="D366:H366"/>
    <mergeCell ref="D367:H367"/>
    <mergeCell ref="D369:H369"/>
    <mergeCell ref="D786:H786"/>
    <mergeCell ref="D779:H779"/>
    <mergeCell ref="D773:H773"/>
    <mergeCell ref="D772:H772"/>
    <mergeCell ref="D784:H784"/>
    <mergeCell ref="D774:H774"/>
    <mergeCell ref="D576:H576"/>
    <mergeCell ref="D364:H364"/>
    <mergeCell ref="D501:H501"/>
    <mergeCell ref="D370:H370"/>
    <mergeCell ref="D368:H368"/>
    <mergeCell ref="D491:H491"/>
    <mergeCell ref="D393:H393"/>
    <mergeCell ref="D398:H398"/>
    <mergeCell ref="D379:H379"/>
    <mergeCell ref="D380:H380"/>
    <mergeCell ref="D375:H375"/>
    <mergeCell ref="D357:H357"/>
    <mergeCell ref="D346:H346"/>
    <mergeCell ref="D347:H347"/>
    <mergeCell ref="D349:H349"/>
    <mergeCell ref="D350:H350"/>
    <mergeCell ref="D351:H351"/>
    <mergeCell ref="D352:H352"/>
    <mergeCell ref="D353:H353"/>
    <mergeCell ref="D354:H354"/>
    <mergeCell ref="D356:H356"/>
    <mergeCell ref="D355:H355"/>
    <mergeCell ref="D293:H293"/>
    <mergeCell ref="D326:H326"/>
    <mergeCell ref="D285:H285"/>
    <mergeCell ref="D302:H302"/>
    <mergeCell ref="D306:H306"/>
    <mergeCell ref="D291:H291"/>
    <mergeCell ref="D323:H323"/>
    <mergeCell ref="D295:H295"/>
    <mergeCell ref="D321:H321"/>
    <mergeCell ref="D345:H345"/>
    <mergeCell ref="D327:H327"/>
    <mergeCell ref="D334:H334"/>
    <mergeCell ref="D335:H335"/>
    <mergeCell ref="D336:H336"/>
    <mergeCell ref="D330:H330"/>
    <mergeCell ref="D333:H333"/>
    <mergeCell ref="D328:H328"/>
    <mergeCell ref="D331:H331"/>
    <mergeCell ref="D339:H339"/>
    <mergeCell ref="D271:H271"/>
    <mergeCell ref="D272:H272"/>
    <mergeCell ref="D329:H329"/>
    <mergeCell ref="D344:H344"/>
    <mergeCell ref="D274:H274"/>
    <mergeCell ref="D303:H303"/>
    <mergeCell ref="D304:H304"/>
    <mergeCell ref="D275:H275"/>
    <mergeCell ref="D276:H276"/>
    <mergeCell ref="D279:H279"/>
    <mergeCell ref="D325:H325"/>
    <mergeCell ref="D305:H305"/>
    <mergeCell ref="D120:H120"/>
    <mergeCell ref="D121:H121"/>
    <mergeCell ref="D122:H122"/>
    <mergeCell ref="D123:H123"/>
    <mergeCell ref="D127:H127"/>
    <mergeCell ref="D131:H131"/>
    <mergeCell ref="D130:H130"/>
    <mergeCell ref="D134:H134"/>
    <mergeCell ref="D140:H140"/>
    <mergeCell ref="D139:H139"/>
    <mergeCell ref="D100:H100"/>
    <mergeCell ref="D132:H132"/>
    <mergeCell ref="D133:H133"/>
    <mergeCell ref="D124:H124"/>
    <mergeCell ref="D128:H128"/>
    <mergeCell ref="D129:H129"/>
    <mergeCell ref="D114:H114"/>
    <mergeCell ref="D119:H119"/>
    <mergeCell ref="D118:H118"/>
    <mergeCell ref="D112:H112"/>
    <mergeCell ref="D117:H117"/>
    <mergeCell ref="D229:H229"/>
    <mergeCell ref="D135:H135"/>
    <mergeCell ref="D138:H138"/>
    <mergeCell ref="D156:H156"/>
    <mergeCell ref="D154:H154"/>
    <mergeCell ref="D148:H148"/>
    <mergeCell ref="D149:H149"/>
    <mergeCell ref="E107:H107"/>
    <mergeCell ref="E110:H110"/>
    <mergeCell ref="D115:H115"/>
    <mergeCell ref="D116:H116"/>
    <mergeCell ref="E108:H108"/>
    <mergeCell ref="D81:H81"/>
    <mergeCell ref="D96:H96"/>
    <mergeCell ref="D97:H97"/>
    <mergeCell ref="D111:H111"/>
    <mergeCell ref="D94:H94"/>
    <mergeCell ref="D92:H92"/>
    <mergeCell ref="D93:H93"/>
    <mergeCell ref="D90:H90"/>
    <mergeCell ref="D88:H88"/>
    <mergeCell ref="D89:H89"/>
    <mergeCell ref="D13:H13"/>
    <mergeCell ref="D14:H14"/>
    <mergeCell ref="D16:H16"/>
    <mergeCell ref="D28:H28"/>
    <mergeCell ref="D15:H15"/>
    <mergeCell ref="D19:H19"/>
    <mergeCell ref="D18:H18"/>
    <mergeCell ref="D17:H17"/>
    <mergeCell ref="D24:H24"/>
    <mergeCell ref="D20:H20"/>
    <mergeCell ref="D8:H8"/>
    <mergeCell ref="D9:H9"/>
    <mergeCell ref="D11:H11"/>
    <mergeCell ref="D12:H12"/>
    <mergeCell ref="D21:H21"/>
    <mergeCell ref="D22:H22"/>
    <mergeCell ref="D23:H23"/>
    <mergeCell ref="D25:H25"/>
    <mergeCell ref="D26:H26"/>
    <mergeCell ref="D27:H27"/>
    <mergeCell ref="C3117:F3117"/>
    <mergeCell ref="D30:H30"/>
    <mergeCell ref="D29:H29"/>
    <mergeCell ref="D68:H68"/>
    <mergeCell ref="D72:H72"/>
    <mergeCell ref="D60:H60"/>
    <mergeCell ref="D61:H61"/>
    <mergeCell ref="D31:H31"/>
    <mergeCell ref="D32:H32"/>
    <mergeCell ref="D35:H35"/>
    <mergeCell ref="D33:H33"/>
    <mergeCell ref="D34:H34"/>
    <mergeCell ref="D36:H36"/>
    <mergeCell ref="D37:H37"/>
    <mergeCell ref="D38:H38"/>
    <mergeCell ref="D39:H39"/>
    <mergeCell ref="D80:H80"/>
    <mergeCell ref="D75:H75"/>
    <mergeCell ref="D47:H47"/>
    <mergeCell ref="D40:H40"/>
    <mergeCell ref="D41:H41"/>
    <mergeCell ref="D42:H42"/>
    <mergeCell ref="D43:H43"/>
    <mergeCell ref="D44:H44"/>
    <mergeCell ref="D45:H45"/>
    <mergeCell ref="D66:H66"/>
    <mergeCell ref="D84:H84"/>
    <mergeCell ref="D87:H87"/>
    <mergeCell ref="D85:H85"/>
    <mergeCell ref="D86:H86"/>
    <mergeCell ref="D814:H814"/>
    <mergeCell ref="D803:H803"/>
    <mergeCell ref="D798:H798"/>
    <mergeCell ref="D800:H800"/>
    <mergeCell ref="D801:H801"/>
    <mergeCell ref="D804:H804"/>
    <mergeCell ref="D805:H805"/>
    <mergeCell ref="D806:H806"/>
    <mergeCell ref="D813:H813"/>
    <mergeCell ref="D811:H811"/>
    <mergeCell ref="D1007:H1007"/>
    <mergeCell ref="D999:H999"/>
    <mergeCell ref="D1000:H1000"/>
    <mergeCell ref="D1001:H1001"/>
    <mergeCell ref="D1006:H1006"/>
    <mergeCell ref="D1005:H1005"/>
    <mergeCell ref="D895:H895"/>
    <mergeCell ref="D893:H893"/>
    <mergeCell ref="D1123:H1123"/>
    <mergeCell ref="D1120:H1120"/>
    <mergeCell ref="D1054:H1054"/>
    <mergeCell ref="D1061:H1061"/>
    <mergeCell ref="D1056:H1056"/>
    <mergeCell ref="D1057:H1057"/>
    <mergeCell ref="D1065:H1065"/>
    <mergeCell ref="D1122:H1122"/>
    <mergeCell ref="D1111:H1111"/>
    <mergeCell ref="D1118:H1118"/>
    <mergeCell ref="D1119:H1119"/>
    <mergeCell ref="D1228:H1228"/>
    <mergeCell ref="D1129:H1129"/>
    <mergeCell ref="D1201:H1201"/>
    <mergeCell ref="D1127:H1127"/>
    <mergeCell ref="D1128:H1128"/>
    <mergeCell ref="D1205:H1205"/>
    <mergeCell ref="D1224:H1224"/>
    <mergeCell ref="D1234:H1234"/>
    <mergeCell ref="D1235:H1235"/>
    <mergeCell ref="D1238:H1238"/>
    <mergeCell ref="D1575:H1575"/>
    <mergeCell ref="D1573:H1573"/>
    <mergeCell ref="D1558:H1558"/>
    <mergeCell ref="D1569:H1569"/>
    <mergeCell ref="D1571:H1571"/>
    <mergeCell ref="D1554:H1554"/>
    <mergeCell ref="D1555:H1555"/>
    <mergeCell ref="D1579:H1579"/>
    <mergeCell ref="D1581:H1581"/>
    <mergeCell ref="D1574:H1574"/>
    <mergeCell ref="D1578:H1578"/>
    <mergeCell ref="D1576:H1576"/>
    <mergeCell ref="D1577:H1577"/>
    <mergeCell ref="D1580:H1580"/>
    <mergeCell ref="D1598:H1598"/>
    <mergeCell ref="D1603:H1603"/>
    <mergeCell ref="D1600:H1600"/>
    <mergeCell ref="D1599:H1599"/>
    <mergeCell ref="D1587:H1587"/>
    <mergeCell ref="D1582:H1582"/>
    <mergeCell ref="D1583:H1583"/>
    <mergeCell ref="D1584:H1584"/>
    <mergeCell ref="D1626:H1626"/>
    <mergeCell ref="D1601:H1601"/>
    <mergeCell ref="D1607:H1607"/>
    <mergeCell ref="D1602:H1602"/>
    <mergeCell ref="D1608:H1608"/>
    <mergeCell ref="D1612:H1612"/>
    <mergeCell ref="D1613:H1613"/>
    <mergeCell ref="D1615:H1615"/>
    <mergeCell ref="D1606:H1606"/>
    <mergeCell ref="D1614:H1614"/>
    <mergeCell ref="D1597:H1597"/>
    <mergeCell ref="D1633:H1633"/>
    <mergeCell ref="E1699:H1699"/>
    <mergeCell ref="D1704:H1704"/>
    <mergeCell ref="D1634:H1634"/>
    <mergeCell ref="D1639:H1639"/>
    <mergeCell ref="D1640:H1640"/>
    <mergeCell ref="D1637:H1637"/>
    <mergeCell ref="D1627:H1627"/>
    <mergeCell ref="D1625:H1625"/>
    <mergeCell ref="D2044:H2044"/>
    <mergeCell ref="D2150:H2150"/>
    <mergeCell ref="D2132:H2132"/>
    <mergeCell ref="D1907:H1907"/>
    <mergeCell ref="D1908:H1908"/>
    <mergeCell ref="D1911:H1911"/>
    <mergeCell ref="D1912:H1912"/>
    <mergeCell ref="D2031:H2031"/>
    <mergeCell ref="D2034:H2034"/>
    <mergeCell ref="D2042:H2042"/>
    <mergeCell ref="D2162:H2162"/>
    <mergeCell ref="D1913:H1913"/>
    <mergeCell ref="D1909:H1909"/>
    <mergeCell ref="D2098:H2098"/>
    <mergeCell ref="D2099:H2099"/>
    <mergeCell ref="D2100:H2100"/>
    <mergeCell ref="D2122:H2122"/>
    <mergeCell ref="D2120:H2120"/>
    <mergeCell ref="D2135:H2135"/>
    <mergeCell ref="D2123:H2123"/>
    <mergeCell ref="D2125:H2125"/>
    <mergeCell ref="D2140:H2140"/>
    <mergeCell ref="D2185:H2185"/>
    <mergeCell ref="D2192:H2192"/>
    <mergeCell ref="D2186:H2186"/>
    <mergeCell ref="D2187:H2187"/>
    <mergeCell ref="D2189:H2189"/>
    <mergeCell ref="D2178:H2178"/>
    <mergeCell ref="D2133:H2133"/>
    <mergeCell ref="D2134:H2134"/>
    <mergeCell ref="D2193:H2193"/>
    <mergeCell ref="D2190:H2190"/>
    <mergeCell ref="D2089:H2089"/>
    <mergeCell ref="D2094:H2094"/>
    <mergeCell ref="D2141:H2141"/>
    <mergeCell ref="D2129:H2129"/>
    <mergeCell ref="D2126:H2126"/>
    <mergeCell ref="D2097:H2097"/>
    <mergeCell ref="D2124:H2124"/>
    <mergeCell ref="D2127:H2127"/>
    <mergeCell ref="D2093:H2093"/>
    <mergeCell ref="D2091:H2091"/>
    <mergeCell ref="D1734:H1734"/>
    <mergeCell ref="D1735:H1735"/>
    <mergeCell ref="D2072:H2072"/>
    <mergeCell ref="D1898:H1898"/>
    <mergeCell ref="D1770:H1770"/>
    <mergeCell ref="D1799:H1799"/>
    <mergeCell ref="D1794:H1794"/>
    <mergeCell ref="D1760:H1760"/>
    <mergeCell ref="D2152:H2152"/>
    <mergeCell ref="D2176:H2176"/>
    <mergeCell ref="D2175:H2175"/>
    <mergeCell ref="D2139:H2139"/>
    <mergeCell ref="D2160:H2160"/>
    <mergeCell ref="D2174:H2174"/>
    <mergeCell ref="D2166:H2166"/>
    <mergeCell ref="D2167:H2167"/>
    <mergeCell ref="D2169:H2169"/>
    <mergeCell ref="D2168:H2168"/>
    <mergeCell ref="D2203:H2203"/>
    <mergeCell ref="D2230:H2230"/>
    <mergeCell ref="D2188:H2188"/>
    <mergeCell ref="D2195:H2195"/>
    <mergeCell ref="D2202:H2202"/>
    <mergeCell ref="D2198:H2198"/>
    <mergeCell ref="D2200:H2200"/>
    <mergeCell ref="D2201:H2201"/>
    <mergeCell ref="D2199:H2199"/>
    <mergeCell ref="D2197:H2197"/>
    <mergeCell ref="D1711:H1711"/>
    <mergeCell ref="D1779:H1779"/>
    <mergeCell ref="D1893:H1893"/>
    <mergeCell ref="D1832:H1832"/>
    <mergeCell ref="D1769:H1769"/>
    <mergeCell ref="D1762:H1762"/>
    <mergeCell ref="D1765:H1765"/>
    <mergeCell ref="D1803:H1803"/>
    <mergeCell ref="D1804:H1804"/>
    <mergeCell ref="D1790:H1790"/>
    <mergeCell ref="D2218:H2218"/>
    <mergeCell ref="D2219:H2219"/>
    <mergeCell ref="D2222:H2222"/>
    <mergeCell ref="D2228:H2228"/>
    <mergeCell ref="D2220:H2220"/>
    <mergeCell ref="D2244:H2244"/>
    <mergeCell ref="D2238:H2238"/>
    <mergeCell ref="D2229:H2229"/>
    <mergeCell ref="D2232:H2232"/>
    <mergeCell ref="D2237:H2237"/>
    <mergeCell ref="D2239:H2239"/>
    <mergeCell ref="D2243:H2243"/>
    <mergeCell ref="D2235:H2235"/>
    <mergeCell ref="D2236:H2236"/>
    <mergeCell ref="D2231:H2231"/>
    <mergeCell ref="D2251:H2251"/>
    <mergeCell ref="D2260:H2260"/>
    <mergeCell ref="D2257:H2257"/>
    <mergeCell ref="D2256:H2256"/>
    <mergeCell ref="D2258:H2258"/>
    <mergeCell ref="D2259:H2259"/>
    <mergeCell ref="D2255:H2255"/>
    <mergeCell ref="D2253:H2253"/>
    <mergeCell ref="D2284:H2284"/>
    <mergeCell ref="D2285:H2285"/>
    <mergeCell ref="D2252:H2252"/>
    <mergeCell ref="D2254:H2254"/>
    <mergeCell ref="D2282:H2282"/>
    <mergeCell ref="D2371:H2371"/>
    <mergeCell ref="D2372:H2372"/>
    <mergeCell ref="D2261:H2261"/>
    <mergeCell ref="D2301:H2301"/>
    <mergeCell ref="D2300:H2300"/>
    <mergeCell ref="D2276:H2276"/>
    <mergeCell ref="D2271:H2271"/>
    <mergeCell ref="D2270:H2270"/>
    <mergeCell ref="D2268:H2268"/>
    <mergeCell ref="D2269:H2269"/>
    <mergeCell ref="D2376:H2376"/>
    <mergeCell ref="D2378:H2378"/>
    <mergeCell ref="D2383:H2383"/>
    <mergeCell ref="D2386:H2386"/>
    <mergeCell ref="D2327:H2327"/>
    <mergeCell ref="D2324:H2324"/>
    <mergeCell ref="D2325:H2325"/>
    <mergeCell ref="D2326:H2326"/>
    <mergeCell ref="D2332:H2332"/>
    <mergeCell ref="D2333:H2333"/>
    <mergeCell ref="D2329:H2329"/>
    <mergeCell ref="D2330:H2330"/>
    <mergeCell ref="D2331:H2331"/>
    <mergeCell ref="D2334:H2334"/>
    <mergeCell ref="D2339:H2339"/>
    <mergeCell ref="D2303:H2303"/>
    <mergeCell ref="D2311:H2311"/>
    <mergeCell ref="D2305:H2305"/>
    <mergeCell ref="D2315:H2315"/>
    <mergeCell ref="D2319:H2319"/>
    <mergeCell ref="D2321:H2321"/>
    <mergeCell ref="D2322:H2322"/>
    <mergeCell ref="D2323:H2323"/>
    <mergeCell ref="D2702:H2702"/>
    <mergeCell ref="D2264:H2264"/>
    <mergeCell ref="D2266:H2266"/>
    <mergeCell ref="D2265:H2265"/>
    <mergeCell ref="D2298:H2298"/>
    <mergeCell ref="D2272:H2272"/>
    <mergeCell ref="D2293:H2293"/>
    <mergeCell ref="D2296:H2296"/>
    <mergeCell ref="D2275:H2275"/>
    <mergeCell ref="D2405:H2405"/>
    <mergeCell ref="D2704:H2704"/>
    <mergeCell ref="D2705:H2705"/>
    <mergeCell ref="D2798:H2798"/>
    <mergeCell ref="D2808:H2808"/>
    <mergeCell ref="D2748:H2748"/>
    <mergeCell ref="D2795:H2795"/>
    <mergeCell ref="D2806:H2806"/>
    <mergeCell ref="D2802:H2802"/>
    <mergeCell ref="D2790:H2790"/>
    <mergeCell ref="D2791:H2791"/>
    <mergeCell ref="D2829:H2829"/>
    <mergeCell ref="D2827:H2827"/>
    <mergeCell ref="D2824:H2824"/>
    <mergeCell ref="D2825:H2825"/>
    <mergeCell ref="D2826:H2826"/>
    <mergeCell ref="D2822:H2822"/>
    <mergeCell ref="D2817:H2817"/>
    <mergeCell ref="D2309:H2309"/>
    <mergeCell ref="D2196:H2196"/>
    <mergeCell ref="D2308:H2308"/>
    <mergeCell ref="D2314:H2314"/>
    <mergeCell ref="D2304:H2304"/>
    <mergeCell ref="D2313:H2313"/>
    <mergeCell ref="D2312:H2312"/>
    <mergeCell ref="D2283:H2283"/>
    <mergeCell ref="D2172:H2172"/>
    <mergeCell ref="D2294:H2294"/>
    <mergeCell ref="D2306:H2306"/>
    <mergeCell ref="D2307:H2307"/>
    <mergeCell ref="D2274:H2274"/>
    <mergeCell ref="D2277:H2277"/>
    <mergeCell ref="D2286:H2286"/>
    <mergeCell ref="D2289:H2289"/>
    <mergeCell ref="D2302:H2302"/>
    <mergeCell ref="D2292:H2292"/>
    <mergeCell ref="D1561:H1561"/>
    <mergeCell ref="D1562:H1562"/>
    <mergeCell ref="D1560:H1560"/>
    <mergeCell ref="D1564:H1564"/>
    <mergeCell ref="D1570:H1570"/>
    <mergeCell ref="D1568:H1568"/>
    <mergeCell ref="D1563:H1563"/>
    <mergeCell ref="D1572:H1572"/>
    <mergeCell ref="D1565:H1565"/>
    <mergeCell ref="D1594:H1594"/>
    <mergeCell ref="D1595:H1595"/>
    <mergeCell ref="D1596:H1596"/>
    <mergeCell ref="D1588:H1588"/>
    <mergeCell ref="D1592:H1592"/>
    <mergeCell ref="D1593:H1593"/>
    <mergeCell ref="D1591:H1591"/>
    <mergeCell ref="D1590:H1590"/>
    <mergeCell ref="D1589:H1589"/>
    <mergeCell ref="D1707:H1707"/>
    <mergeCell ref="D1708:H1708"/>
    <mergeCell ref="D1227:H1227"/>
    <mergeCell ref="D1215:H1215"/>
    <mergeCell ref="D1621:H1621"/>
    <mergeCell ref="D1609:H1609"/>
    <mergeCell ref="D1610:H1610"/>
    <mergeCell ref="D1611:H1611"/>
    <mergeCell ref="D1629:H1629"/>
    <mergeCell ref="D1628:H1628"/>
    <mergeCell ref="D1783:H1783"/>
    <mergeCell ref="D1773:H1773"/>
    <mergeCell ref="D1757:H1757"/>
    <mergeCell ref="D1742:H1742"/>
    <mergeCell ref="D1751:H1751"/>
    <mergeCell ref="D1766:H1766"/>
    <mergeCell ref="D1752:H1752"/>
    <mergeCell ref="D1764:H1764"/>
    <mergeCell ref="D1763:H1763"/>
    <mergeCell ref="D1761:H1761"/>
    <mergeCell ref="D1738:H1738"/>
    <mergeCell ref="D1737:H1737"/>
    <mergeCell ref="D1741:H1741"/>
    <mergeCell ref="D1744:H1744"/>
    <mergeCell ref="D1743:H1743"/>
    <mergeCell ref="D1739:H1739"/>
    <mergeCell ref="D1740:H1740"/>
    <mergeCell ref="D1710:H1710"/>
    <mergeCell ref="D1635:H1635"/>
    <mergeCell ref="D1700:H1700"/>
    <mergeCell ref="D1709:H1709"/>
    <mergeCell ref="D1706:H1706"/>
    <mergeCell ref="D1701:H1701"/>
    <mergeCell ref="D1676:H1676"/>
    <mergeCell ref="D1705:H1705"/>
    <mergeCell ref="D1646:H1646"/>
    <mergeCell ref="D1647:H1647"/>
    <mergeCell ref="D1620:H1620"/>
    <mergeCell ref="D1668:H1668"/>
    <mergeCell ref="D1669:H1669"/>
    <mergeCell ref="D1702:H1702"/>
    <mergeCell ref="D1630:H1630"/>
    <mergeCell ref="D1632:H1632"/>
    <mergeCell ref="D1631:H1631"/>
    <mergeCell ref="D1622:H1622"/>
    <mergeCell ref="D1644:H1644"/>
    <mergeCell ref="D1645:H1645"/>
    <mergeCell ref="D1747:H1747"/>
    <mergeCell ref="D1753:H1753"/>
    <mergeCell ref="D1754:H1754"/>
    <mergeCell ref="D1758:H1758"/>
    <mergeCell ref="D1748:H1748"/>
    <mergeCell ref="D1750:H1750"/>
    <mergeCell ref="D1745:H1745"/>
    <mergeCell ref="D1746:H1746"/>
    <mergeCell ref="D1801:H1801"/>
    <mergeCell ref="D1759:H1759"/>
    <mergeCell ref="D1749:H1749"/>
    <mergeCell ref="D1800:H1800"/>
    <mergeCell ref="D1798:H1798"/>
    <mergeCell ref="D1791:H1791"/>
    <mergeCell ref="D1771:H1771"/>
    <mergeCell ref="D1781:H1781"/>
    <mergeCell ref="D1767:H1767"/>
    <mergeCell ref="D1768:H1768"/>
    <mergeCell ref="D197:H197"/>
    <mergeCell ref="D200:H200"/>
    <mergeCell ref="D199:H199"/>
    <mergeCell ref="D217:H217"/>
    <mergeCell ref="D213:H213"/>
    <mergeCell ref="D210:H210"/>
    <mergeCell ref="D209:H209"/>
    <mergeCell ref="D201:H201"/>
    <mergeCell ref="D204:H204"/>
    <mergeCell ref="D2247:H2247"/>
    <mergeCell ref="D2384:H2384"/>
    <mergeCell ref="D2248:H2248"/>
    <mergeCell ref="D2241:H2241"/>
    <mergeCell ref="D2242:H2242"/>
    <mergeCell ref="D2246:H2246"/>
    <mergeCell ref="D2316:H2316"/>
    <mergeCell ref="D2310:H2310"/>
    <mergeCell ref="D2287:H2287"/>
    <mergeCell ref="D62:H62"/>
    <mergeCell ref="D63:H63"/>
    <mergeCell ref="D79:H79"/>
    <mergeCell ref="D74:H74"/>
    <mergeCell ref="D76:H76"/>
    <mergeCell ref="D136:H136"/>
    <mergeCell ref="D207:H207"/>
    <mergeCell ref="D2250:H2250"/>
    <mergeCell ref="D2240:H2240"/>
    <mergeCell ref="D188:H188"/>
    <mergeCell ref="D137:H137"/>
    <mergeCell ref="D141:H141"/>
    <mergeCell ref="D142:H142"/>
    <mergeCell ref="D143:H143"/>
    <mergeCell ref="D216:H216"/>
    <mergeCell ref="D55:H55"/>
    <mergeCell ref="D51:H51"/>
    <mergeCell ref="D57:H57"/>
    <mergeCell ref="D1198:H1198"/>
    <mergeCell ref="D58:H58"/>
    <mergeCell ref="D146:H146"/>
    <mergeCell ref="D1124:H1124"/>
    <mergeCell ref="D1130:H1130"/>
    <mergeCell ref="D1131:H1131"/>
    <mergeCell ref="D1121:H1121"/>
    <mergeCell ref="D48:H48"/>
    <mergeCell ref="D49:H49"/>
    <mergeCell ref="D50:H50"/>
    <mergeCell ref="D54:H54"/>
    <mergeCell ref="D52:H52"/>
    <mergeCell ref="D53:H53"/>
    <mergeCell ref="D56:H56"/>
    <mergeCell ref="D77:H77"/>
    <mergeCell ref="D78:H78"/>
    <mergeCell ref="D73:H73"/>
    <mergeCell ref="D65:H65"/>
    <mergeCell ref="D67:H67"/>
    <mergeCell ref="D59:H59"/>
    <mergeCell ref="D69:H69"/>
    <mergeCell ref="D70:H70"/>
    <mergeCell ref="D71:H71"/>
    <mergeCell ref="D95:H95"/>
    <mergeCell ref="D91:H91"/>
    <mergeCell ref="D113:H113"/>
    <mergeCell ref="D105:H105"/>
    <mergeCell ref="D99:H99"/>
    <mergeCell ref="E109:H109"/>
    <mergeCell ref="D104:H104"/>
    <mergeCell ref="D103:H103"/>
    <mergeCell ref="D98:H98"/>
    <mergeCell ref="E106:H106"/>
    <mergeCell ref="D147:H147"/>
    <mergeCell ref="D150:H150"/>
    <mergeCell ref="D151:H151"/>
    <mergeCell ref="D152:H152"/>
    <mergeCell ref="D153:H153"/>
    <mergeCell ref="D155:H155"/>
    <mergeCell ref="D167:H167"/>
    <mergeCell ref="D221:H221"/>
    <mergeCell ref="D211:H211"/>
    <mergeCell ref="D212:H212"/>
    <mergeCell ref="D214:H214"/>
    <mergeCell ref="D218:H218"/>
    <mergeCell ref="D198:H198"/>
    <mergeCell ref="D208:H208"/>
    <mergeCell ref="D222:H222"/>
    <mergeCell ref="D224:H224"/>
    <mergeCell ref="D220:H220"/>
    <mergeCell ref="D215:H215"/>
    <mergeCell ref="D219:H219"/>
    <mergeCell ref="D226:H226"/>
    <mergeCell ref="D249:H249"/>
    <mergeCell ref="D228:H228"/>
    <mergeCell ref="D225:H225"/>
    <mergeCell ref="D227:H227"/>
    <mergeCell ref="D231:H231"/>
    <mergeCell ref="D232:H232"/>
    <mergeCell ref="D239:H239"/>
    <mergeCell ref="D242:H242"/>
    <mergeCell ref="D245:H245"/>
    <mergeCell ref="D548:H548"/>
    <mergeCell ref="D530:H530"/>
    <mergeCell ref="D531:H531"/>
    <mergeCell ref="D532:H532"/>
    <mergeCell ref="D538:H538"/>
    <mergeCell ref="D533:H533"/>
    <mergeCell ref="D547:H547"/>
    <mergeCell ref="D2403:H2403"/>
    <mergeCell ref="D2402:H2402"/>
    <mergeCell ref="D2406:H2406"/>
    <mergeCell ref="D2980:H2980"/>
    <mergeCell ref="D2979:H2979"/>
    <mergeCell ref="D2977:H2977"/>
    <mergeCell ref="D2976:H2976"/>
    <mergeCell ref="D2855:H2855"/>
    <mergeCell ref="D2856:H2856"/>
    <mergeCell ref="D2835:H2835"/>
    <mergeCell ref="D2991:H2991"/>
    <mergeCell ref="D2981:H2981"/>
    <mergeCell ref="D2982:H2982"/>
    <mergeCell ref="D2983:H2983"/>
    <mergeCell ref="D2986:H2986"/>
    <mergeCell ref="D2987:H2987"/>
    <mergeCell ref="D2853:H2853"/>
    <mergeCell ref="D2918:H2918"/>
    <mergeCell ref="D2851:H2851"/>
    <mergeCell ref="D2961:H2961"/>
    <mergeCell ref="D2914:H2914"/>
    <mergeCell ref="D2915:H2915"/>
    <mergeCell ref="D2911:H2911"/>
    <mergeCell ref="D2912:H2912"/>
    <mergeCell ref="D2940:H2940"/>
    <mergeCell ref="D2941:H2941"/>
    <mergeCell ref="D2409:H2409"/>
    <mergeCell ref="D2849:H2849"/>
    <mergeCell ref="D2840:H2840"/>
    <mergeCell ref="D2847:H2847"/>
    <mergeCell ref="D2848:H2848"/>
    <mergeCell ref="D2834:H2834"/>
    <mergeCell ref="D2820:H2820"/>
    <mergeCell ref="D2695:H2695"/>
    <mergeCell ref="D2833:H2833"/>
    <mergeCell ref="D2779:H2779"/>
    <mergeCell ref="D2913:H2913"/>
    <mergeCell ref="D2935:H2935"/>
    <mergeCell ref="D2939:H2939"/>
    <mergeCell ref="D2930:H2930"/>
    <mergeCell ref="D2938:H2938"/>
    <mergeCell ref="D2916:H2916"/>
    <mergeCell ref="D2932:H2932"/>
    <mergeCell ref="D2933:H2933"/>
    <mergeCell ref="D2934:H2934"/>
    <mergeCell ref="D2936:H2936"/>
    <mergeCell ref="D2908:H2908"/>
    <mergeCell ref="D3069:H3069"/>
    <mergeCell ref="D3063:H3063"/>
    <mergeCell ref="D3058:H3058"/>
    <mergeCell ref="D3061:H3061"/>
    <mergeCell ref="D3065:H3065"/>
    <mergeCell ref="D3068:H3068"/>
    <mergeCell ref="D3067:H3067"/>
    <mergeCell ref="D3066:H3066"/>
    <mergeCell ref="D3056:H3056"/>
    <mergeCell ref="D3004:H3004"/>
    <mergeCell ref="D2995:H2995"/>
    <mergeCell ref="D3044:H3044"/>
    <mergeCell ref="D3055:I3055"/>
    <mergeCell ref="D3052:H3052"/>
    <mergeCell ref="D3047:H3047"/>
    <mergeCell ref="D3049:H3049"/>
    <mergeCell ref="D3007:H3007"/>
    <mergeCell ref="D3006:H3006"/>
    <mergeCell ref="D3005:H3005"/>
    <mergeCell ref="D3070:H3070"/>
    <mergeCell ref="D3057:H3057"/>
    <mergeCell ref="D3064:H3064"/>
    <mergeCell ref="D3008:H3008"/>
    <mergeCell ref="D3009:H3009"/>
    <mergeCell ref="D3048:H3048"/>
    <mergeCell ref="D3050:H3050"/>
    <mergeCell ref="D3051:H3051"/>
    <mergeCell ref="D3038:H3038"/>
    <mergeCell ref="D3037:H3037"/>
    <mergeCell ref="D3071:H3071"/>
    <mergeCell ref="D3101:H3101"/>
    <mergeCell ref="D3097:H3097"/>
    <mergeCell ref="C3093:H3093"/>
    <mergeCell ref="D3096:H3096"/>
    <mergeCell ref="D3084:H3084"/>
    <mergeCell ref="D3085:H3085"/>
    <mergeCell ref="D3082:H3082"/>
    <mergeCell ref="D3086:H3086"/>
    <mergeCell ref="D3077:H3077"/>
    <mergeCell ref="D3131:G3131"/>
    <mergeCell ref="D502:H502"/>
    <mergeCell ref="D513:H513"/>
    <mergeCell ref="D514:H514"/>
    <mergeCell ref="D512:H512"/>
    <mergeCell ref="D509:H509"/>
    <mergeCell ref="D510:H510"/>
    <mergeCell ref="D511:H511"/>
    <mergeCell ref="D1712:H1712"/>
    <mergeCell ref="D3112:H3112"/>
    <mergeCell ref="D3140:G3140"/>
    <mergeCell ref="D3141:G3141"/>
    <mergeCell ref="D3132:G3132"/>
    <mergeCell ref="D3105:H3105"/>
    <mergeCell ref="D3130:G3130"/>
    <mergeCell ref="D3113:H3113"/>
    <mergeCell ref="D3108:H3108"/>
    <mergeCell ref="D3106:H3106"/>
    <mergeCell ref="D3107:H3107"/>
    <mergeCell ref="D3109:H3109"/>
    <mergeCell ref="D3111:H3111"/>
    <mergeCell ref="D3099:H3099"/>
    <mergeCell ref="D3098:H3098"/>
    <mergeCell ref="D3100:H3100"/>
    <mergeCell ref="D3102:H3102"/>
    <mergeCell ref="D3103:H3103"/>
    <mergeCell ref="D3104:H3104"/>
    <mergeCell ref="D3110:H3110"/>
    <mergeCell ref="D976:H976"/>
    <mergeCell ref="D977:H977"/>
    <mergeCell ref="D978:H978"/>
    <mergeCell ref="D979:H979"/>
    <mergeCell ref="D980:H980"/>
    <mergeCell ref="D981:H981"/>
    <mergeCell ref="D982:H982"/>
    <mergeCell ref="D983:H983"/>
    <mergeCell ref="D984:H984"/>
    <mergeCell ref="D985:H985"/>
    <mergeCell ref="D986:H986"/>
    <mergeCell ref="D991:H991"/>
    <mergeCell ref="D987:H987"/>
    <mergeCell ref="D988:H988"/>
    <mergeCell ref="D989:H989"/>
    <mergeCell ref="D990:H990"/>
    <mergeCell ref="D1648:H1648"/>
    <mergeCell ref="D1649:H1649"/>
    <mergeCell ref="D1650:H1650"/>
    <mergeCell ref="D1651:H1651"/>
    <mergeCell ref="D1657:H1657"/>
    <mergeCell ref="D1658:H1658"/>
    <mergeCell ref="D1659:H1659"/>
    <mergeCell ref="D1652:H1652"/>
    <mergeCell ref="D1653:H1653"/>
    <mergeCell ref="D1654:H1654"/>
    <mergeCell ref="D1655:H1655"/>
    <mergeCell ref="D1692:H1692"/>
    <mergeCell ref="D1693:H1693"/>
    <mergeCell ref="D1686:H1686"/>
    <mergeCell ref="D1687:H1687"/>
    <mergeCell ref="D1688:H1688"/>
    <mergeCell ref="D1689:H1689"/>
    <mergeCell ref="D942:H942"/>
    <mergeCell ref="D943:H943"/>
    <mergeCell ref="D944:H944"/>
    <mergeCell ref="D1690:H1690"/>
    <mergeCell ref="D1682:H1682"/>
    <mergeCell ref="D1683:H1683"/>
    <mergeCell ref="D1684:H1684"/>
    <mergeCell ref="D1685:H1685"/>
    <mergeCell ref="D1660:H1660"/>
    <mergeCell ref="D1656:H1656"/>
    <mergeCell ref="D938:H938"/>
    <mergeCell ref="D939:H939"/>
    <mergeCell ref="D940:H940"/>
    <mergeCell ref="D941:H941"/>
    <mergeCell ref="D945:H945"/>
    <mergeCell ref="D946:H946"/>
    <mergeCell ref="D947:H947"/>
    <mergeCell ref="D948:H948"/>
    <mergeCell ref="C3142:G3142"/>
    <mergeCell ref="D953:H953"/>
    <mergeCell ref="D949:H949"/>
    <mergeCell ref="D950:H950"/>
    <mergeCell ref="D951:H951"/>
    <mergeCell ref="D952:H952"/>
    <mergeCell ref="D1694:H1694"/>
    <mergeCell ref="D1695:H1695"/>
    <mergeCell ref="D1696:H1696"/>
    <mergeCell ref="D1691:H1691"/>
    <mergeCell ref="D1997:H1997"/>
    <mergeCell ref="D1998:H1998"/>
    <mergeCell ref="D1999:H1999"/>
    <mergeCell ref="D2000:H2000"/>
    <mergeCell ref="D1993:H1993"/>
    <mergeCell ref="D1994:H1994"/>
    <mergeCell ref="D1995:H1995"/>
    <mergeCell ref="D1996:H1996"/>
    <mergeCell ref="D1988:H1988"/>
    <mergeCell ref="D1989:H1989"/>
    <mergeCell ref="D1990:H1990"/>
    <mergeCell ref="D1992:H1992"/>
    <mergeCell ref="D1984:H1984"/>
    <mergeCell ref="D1985:H1985"/>
    <mergeCell ref="D1986:H1986"/>
    <mergeCell ref="D1987:H1987"/>
    <mergeCell ref="D1980:H1980"/>
    <mergeCell ref="D1981:H1981"/>
    <mergeCell ref="D1982:H1982"/>
    <mergeCell ref="D1983:H1983"/>
    <mergeCell ref="D1976:H1976"/>
    <mergeCell ref="D1977:H1977"/>
    <mergeCell ref="D1978:H1978"/>
    <mergeCell ref="D1979:H1979"/>
    <mergeCell ref="D1971:H1971"/>
    <mergeCell ref="D1972:H1972"/>
    <mergeCell ref="D1974:H1974"/>
    <mergeCell ref="D1975:H1975"/>
    <mergeCell ref="D1967:H1967"/>
    <mergeCell ref="D1968:H1968"/>
    <mergeCell ref="D1969:H1969"/>
    <mergeCell ref="D1970:H1970"/>
    <mergeCell ref="D1963:H1963"/>
    <mergeCell ref="D1964:H1964"/>
    <mergeCell ref="D1965:H1965"/>
    <mergeCell ref="D1966:H1966"/>
    <mergeCell ref="D1959:H1959"/>
    <mergeCell ref="D1960:H1960"/>
    <mergeCell ref="D1961:H1961"/>
    <mergeCell ref="D1962:H1962"/>
    <mergeCell ref="D1954:H1954"/>
    <mergeCell ref="D1956:H1956"/>
    <mergeCell ref="D1957:H1957"/>
    <mergeCell ref="D1958:H1958"/>
    <mergeCell ref="D1950:H1950"/>
    <mergeCell ref="D1951:H1951"/>
    <mergeCell ref="D1952:H1952"/>
    <mergeCell ref="D1953:H1953"/>
    <mergeCell ref="D1946:H1946"/>
    <mergeCell ref="D1947:H1947"/>
    <mergeCell ref="D1948:H1948"/>
    <mergeCell ref="D1949:H1949"/>
    <mergeCell ref="D1942:H1942"/>
    <mergeCell ref="D1943:H1943"/>
    <mergeCell ref="D1944:H1944"/>
    <mergeCell ref="D1945:H1945"/>
    <mergeCell ref="D1938:H1938"/>
    <mergeCell ref="D1939:H1939"/>
    <mergeCell ref="D1940:H1940"/>
    <mergeCell ref="D1941:H1941"/>
    <mergeCell ref="D2001:H2001"/>
    <mergeCell ref="D2002:H2002"/>
    <mergeCell ref="D2003:H2003"/>
    <mergeCell ref="D2004:H2004"/>
    <mergeCell ref="D2005:H2005"/>
    <mergeCell ref="D2006:H2006"/>
    <mergeCell ref="D2007:H2007"/>
    <mergeCell ref="D2008:H2008"/>
    <mergeCell ref="D2102:H2102"/>
    <mergeCell ref="D2103:H2103"/>
    <mergeCell ref="D2104:H2104"/>
    <mergeCell ref="D2105:H2105"/>
    <mergeCell ref="D2106:H2106"/>
    <mergeCell ref="D2107:H2107"/>
    <mergeCell ref="D2108:H2108"/>
    <mergeCell ref="D2109:H2109"/>
    <mergeCell ref="D2110:H2110"/>
    <mergeCell ref="D2111:H2111"/>
    <mergeCell ref="D2112:H2112"/>
    <mergeCell ref="D2113:H2113"/>
    <mergeCell ref="D2118:H2118"/>
    <mergeCell ref="D2114:H2114"/>
    <mergeCell ref="D2115:H2115"/>
    <mergeCell ref="D2116:H2116"/>
    <mergeCell ref="D2117:H2117"/>
  </mergeCells>
  <printOptions/>
  <pageMargins left="0.32" right="0.16" top="0.28" bottom="0.41" header="0.22" footer="0.17"/>
  <pageSetup horizontalDpi="600" verticalDpi="600" orientation="portrait" paperSize="9" scale="8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76"/>
  <sheetViews>
    <sheetView zoomScale="120" zoomScaleNormal="120" workbookViewId="0" topLeftCell="A1">
      <selection activeCell="F2" sqref="F2:G4"/>
    </sheetView>
  </sheetViews>
  <sheetFormatPr defaultColWidth="9.140625" defaultRowHeight="12.75"/>
  <cols>
    <col min="1" max="1" width="10.421875" style="4" customWidth="1"/>
    <col min="2" max="2" width="4.57421875" style="1" customWidth="1"/>
    <col min="3" max="3" width="9.140625" style="57" customWidth="1"/>
    <col min="4" max="4" width="9.140625" style="1" customWidth="1"/>
    <col min="5" max="5" width="49.140625" style="1" customWidth="1"/>
    <col min="6" max="6" width="10.7109375" style="31" customWidth="1"/>
    <col min="7" max="7" width="9.00390625" style="31" customWidth="1"/>
    <col min="8" max="9" width="10.7109375" style="1" customWidth="1"/>
    <col min="10" max="10" width="11.57421875" style="1" customWidth="1"/>
    <col min="11" max="16384" width="9.140625" style="1" customWidth="1"/>
  </cols>
  <sheetData>
    <row r="1" spans="3:7" s="12" customFormat="1" ht="11.25">
      <c r="C1" s="26"/>
      <c r="E1" s="26"/>
      <c r="F1" s="58" t="s">
        <v>182</v>
      </c>
      <c r="G1" s="58"/>
    </row>
    <row r="2" spans="3:7" s="12" customFormat="1" ht="11.25">
      <c r="C2" s="26"/>
      <c r="E2" s="26"/>
      <c r="F2" s="3" t="s">
        <v>606</v>
      </c>
      <c r="G2" s="14"/>
    </row>
    <row r="3" spans="3:7" s="12" customFormat="1" ht="11.25">
      <c r="C3" s="26"/>
      <c r="E3" s="26"/>
      <c r="F3" s="3" t="s">
        <v>607</v>
      </c>
      <c r="G3" s="14"/>
    </row>
    <row r="4" spans="3:7" s="12" customFormat="1" ht="11.25">
      <c r="C4" s="26"/>
      <c r="E4" s="26"/>
      <c r="F4" s="3" t="s">
        <v>608</v>
      </c>
      <c r="G4" s="14"/>
    </row>
    <row r="5" ht="4.5" customHeight="1"/>
    <row r="6" spans="2:7" s="269" customFormat="1" ht="17.25" customHeight="1">
      <c r="B6" s="492" t="s">
        <v>531</v>
      </c>
      <c r="C6" s="492"/>
      <c r="D6" s="492"/>
      <c r="E6" s="492"/>
      <c r="F6" s="492"/>
      <c r="G6" s="492"/>
    </row>
    <row r="7" ht="4.5" customHeight="1"/>
    <row r="8" spans="1:9" s="418" customFormat="1" ht="34.5" customHeight="1">
      <c r="A8" s="76" t="s">
        <v>34</v>
      </c>
      <c r="B8" s="497" t="s">
        <v>35</v>
      </c>
      <c r="C8" s="497"/>
      <c r="D8" s="497"/>
      <c r="E8" s="497"/>
      <c r="F8" s="76" t="s">
        <v>579</v>
      </c>
      <c r="G8" s="76" t="s">
        <v>186</v>
      </c>
      <c r="H8" s="76" t="s">
        <v>576</v>
      </c>
      <c r="I8" s="417"/>
    </row>
    <row r="9" spans="1:9" s="38" customFormat="1" ht="15.75" customHeight="1">
      <c r="A9" s="53"/>
      <c r="B9" s="498" t="s">
        <v>159</v>
      </c>
      <c r="C9" s="498"/>
      <c r="D9" s="498"/>
      <c r="E9" s="498"/>
      <c r="F9" s="271">
        <f>'2.pielikums'!H9-'2.pielikums'!H44</f>
        <v>-13566313</v>
      </c>
      <c r="G9" s="60">
        <f>'2.pielikums'!I9-'2.pielikums'!I44</f>
        <v>400146</v>
      </c>
      <c r="H9" s="60">
        <f>'2.pielikums'!J9-'2.pielikums'!J44</f>
        <v>-13166167</v>
      </c>
      <c r="I9" s="365">
        <f>H9+H10</f>
        <v>0</v>
      </c>
    </row>
    <row r="10" spans="1:9" s="38" customFormat="1" ht="15" customHeight="1">
      <c r="A10" s="53"/>
      <c r="B10" s="498" t="s">
        <v>160</v>
      </c>
      <c r="C10" s="499"/>
      <c r="D10" s="499"/>
      <c r="E10" s="499"/>
      <c r="F10" s="271">
        <f>F12+F21+F71</f>
        <v>13566313</v>
      </c>
      <c r="G10" s="60">
        <f>G12+G21+G71</f>
        <v>-400146</v>
      </c>
      <c r="H10" s="60">
        <f>H12+H21+H71</f>
        <v>13166167</v>
      </c>
      <c r="I10" s="366"/>
    </row>
    <row r="11" spans="1:9" s="38" customFormat="1" ht="7.5" customHeight="1">
      <c r="A11" s="53"/>
      <c r="B11" s="61"/>
      <c r="C11" s="37"/>
      <c r="D11" s="62"/>
      <c r="E11" s="62"/>
      <c r="F11" s="52"/>
      <c r="G11" s="52"/>
      <c r="I11" s="268"/>
    </row>
    <row r="12" spans="1:9" s="38" customFormat="1" ht="12.75">
      <c r="A12" s="20" t="s">
        <v>243</v>
      </c>
      <c r="B12" s="493" t="s">
        <v>133</v>
      </c>
      <c r="C12" s="494"/>
      <c r="D12" s="494"/>
      <c r="E12" s="494"/>
      <c r="F12" s="271">
        <f>F13-F19</f>
        <v>14138151</v>
      </c>
      <c r="G12" s="60">
        <f>G13-G19</f>
        <v>0</v>
      </c>
      <c r="H12" s="60">
        <f>H13-H19</f>
        <v>14138151</v>
      </c>
      <c r="I12" s="110">
        <f>14138151-F12</f>
        <v>0</v>
      </c>
    </row>
    <row r="13" spans="1:9" s="38" customFormat="1" ht="12.75">
      <c r="A13" s="53"/>
      <c r="B13" s="495" t="s">
        <v>183</v>
      </c>
      <c r="C13" s="494"/>
      <c r="D13" s="494"/>
      <c r="E13" s="494"/>
      <c r="F13" s="13">
        <f>F14+F15</f>
        <v>14138151</v>
      </c>
      <c r="G13" s="13">
        <f>G14+G15</f>
        <v>0</v>
      </c>
      <c r="H13" s="13">
        <f>H14+H15</f>
        <v>14138151</v>
      </c>
      <c r="I13" s="268"/>
    </row>
    <row r="14" spans="1:9" s="38" customFormat="1" ht="12.75" customHeight="1">
      <c r="A14" s="53"/>
      <c r="B14" s="496" t="s">
        <v>447</v>
      </c>
      <c r="C14" s="496"/>
      <c r="D14" s="496"/>
      <c r="E14" s="496"/>
      <c r="F14" s="32">
        <f>1061+1797+46+161+145+3964+240315+282977+1544954+1719532+609609+2993826+1150464+1195467+11205+102107+293389+24783+1652867+24328+14000+33033+341678+6+1435+1+47+16009+47902+32177+121877+1+400+600</f>
        <v>12462163</v>
      </c>
      <c r="G14" s="32"/>
      <c r="H14" s="39">
        <f>SUM(F14:G14)</f>
        <v>12462163</v>
      </c>
      <c r="I14" s="110">
        <f>12462163-'4.pielik.'!H14</f>
        <v>0</v>
      </c>
    </row>
    <row r="15" spans="1:9" s="38" customFormat="1" ht="12" customHeight="1">
      <c r="A15" s="53"/>
      <c r="B15" s="496" t="s">
        <v>446</v>
      </c>
      <c r="C15" s="496"/>
      <c r="D15" s="496"/>
      <c r="E15" s="496"/>
      <c r="F15" s="32">
        <f>F16+F17+F18</f>
        <v>1675988</v>
      </c>
      <c r="G15" s="32">
        <f>G16+G17+G18</f>
        <v>0</v>
      </c>
      <c r="H15" s="32">
        <f>H16+H17+H18</f>
        <v>1675988</v>
      </c>
      <c r="I15" s="268"/>
    </row>
    <row r="16" spans="1:8" s="38" customFormat="1" ht="12" customHeight="1" hidden="1">
      <c r="A16" s="53"/>
      <c r="B16" s="35"/>
      <c r="C16" s="496" t="s">
        <v>189</v>
      </c>
      <c r="D16" s="496"/>
      <c r="E16" s="496"/>
      <c r="F16" s="32">
        <f>1189522</f>
        <v>1189522</v>
      </c>
      <c r="G16" s="32"/>
      <c r="H16" s="39">
        <f>SUM(F16:G16)</f>
        <v>1189522</v>
      </c>
    </row>
    <row r="17" spans="1:8" s="18" customFormat="1" ht="12" customHeight="1" hidden="1">
      <c r="A17" s="53"/>
      <c r="B17" s="35"/>
      <c r="C17" s="489" t="s">
        <v>218</v>
      </c>
      <c r="D17" s="489"/>
      <c r="E17" s="489"/>
      <c r="F17" s="32">
        <f>602+1000+251795+1602</f>
        <v>254999</v>
      </c>
      <c r="G17" s="32"/>
      <c r="H17" s="39">
        <f>SUM(F17:G17)</f>
        <v>254999</v>
      </c>
    </row>
    <row r="18" spans="1:8" s="18" customFormat="1" ht="12" customHeight="1" hidden="1">
      <c r="A18" s="53"/>
      <c r="B18" s="35"/>
      <c r="C18" s="489" t="s">
        <v>226</v>
      </c>
      <c r="D18" s="489"/>
      <c r="E18" s="489"/>
      <c r="F18" s="32">
        <f>145+2653+6140+1074+25797+9118+8372+17182+102+500+179+28+37433+10+21279+102055-600</f>
        <v>231467</v>
      </c>
      <c r="G18" s="32"/>
      <c r="H18" s="39">
        <f>SUM(F18:G18)</f>
        <v>231467</v>
      </c>
    </row>
    <row r="19" spans="1:8" s="18" customFormat="1" ht="12">
      <c r="A19" s="53"/>
      <c r="B19" s="495" t="s">
        <v>135</v>
      </c>
      <c r="C19" s="495"/>
      <c r="D19" s="495"/>
      <c r="E19" s="495"/>
      <c r="F19" s="13">
        <v>0</v>
      </c>
      <c r="G19" s="13"/>
      <c r="H19" s="39">
        <f>SUM(F19:G19)</f>
        <v>0</v>
      </c>
    </row>
    <row r="20" spans="1:7" s="38" customFormat="1" ht="9" customHeight="1">
      <c r="A20" s="53"/>
      <c r="B20" s="61"/>
      <c r="C20" s="37"/>
      <c r="D20" s="62"/>
      <c r="E20" s="62"/>
      <c r="F20" s="52"/>
      <c r="G20" s="52"/>
    </row>
    <row r="21" spans="1:8" s="38" customFormat="1" ht="12.75" customHeight="1">
      <c r="A21" s="20" t="s">
        <v>244</v>
      </c>
      <c r="B21" s="498" t="s">
        <v>193</v>
      </c>
      <c r="C21" s="498"/>
      <c r="D21" s="498"/>
      <c r="E21" s="498"/>
      <c r="F21" s="271">
        <f>F22+F35</f>
        <v>-407577</v>
      </c>
      <c r="G21" s="60">
        <f>G22+G35</f>
        <v>-250146</v>
      </c>
      <c r="H21" s="60">
        <f>H22+H35</f>
        <v>-657723</v>
      </c>
    </row>
    <row r="22" spans="1:8" s="53" customFormat="1" ht="12.75" customHeight="1">
      <c r="A22" s="114" t="s">
        <v>245</v>
      </c>
      <c r="B22" s="500" t="s">
        <v>235</v>
      </c>
      <c r="C22" s="500"/>
      <c r="D22" s="500"/>
      <c r="E22" s="500"/>
      <c r="F22" s="23">
        <f>F23+F25+F27+F28+F24+F29+F30+F26+F31+F33+F32</f>
        <v>3306119</v>
      </c>
      <c r="G22" s="23">
        <f>G23+G25+G27+G28+G24+G29+G30+G26+G31+G33+G32</f>
        <v>0</v>
      </c>
      <c r="H22" s="23">
        <f>H23+H25+H27+H28+H24+H29+H30+H26+H31+H33+H32</f>
        <v>3306119</v>
      </c>
    </row>
    <row r="23" spans="1:8" s="38" customFormat="1" ht="22.5" customHeight="1" hidden="1">
      <c r="A23" s="53"/>
      <c r="B23" s="36"/>
      <c r="C23" s="489" t="s">
        <v>238</v>
      </c>
      <c r="D23" s="489"/>
      <c r="E23" s="489"/>
      <c r="F23" s="32"/>
      <c r="G23" s="32"/>
      <c r="H23" s="70">
        <f>SUM(F23:G23)</f>
        <v>0</v>
      </c>
    </row>
    <row r="24" spans="1:8" s="38" customFormat="1" ht="22.5" customHeight="1" hidden="1">
      <c r="A24" s="53"/>
      <c r="B24" s="36"/>
      <c r="C24" s="489" t="s">
        <v>301</v>
      </c>
      <c r="D24" s="489"/>
      <c r="E24" s="489"/>
      <c r="F24" s="32"/>
      <c r="G24" s="32"/>
      <c r="H24" s="70">
        <f aca="true" t="shared" si="0" ref="H24:H33">SUM(F24:G24)</f>
        <v>0</v>
      </c>
    </row>
    <row r="25" spans="1:8" s="38" customFormat="1" ht="22.5" customHeight="1" hidden="1">
      <c r="A25" s="53"/>
      <c r="B25" s="36"/>
      <c r="C25" s="489" t="s">
        <v>260</v>
      </c>
      <c r="D25" s="489"/>
      <c r="E25" s="489"/>
      <c r="F25" s="32"/>
      <c r="G25" s="32"/>
      <c r="H25" s="70">
        <f t="shared" si="0"/>
        <v>0</v>
      </c>
    </row>
    <row r="26" spans="1:8" s="38" customFormat="1" ht="22.5" customHeight="1">
      <c r="A26" s="53"/>
      <c r="B26" s="36"/>
      <c r="C26" s="489" t="s">
        <v>417</v>
      </c>
      <c r="D26" s="489"/>
      <c r="E26" s="489"/>
      <c r="F26" s="32">
        <v>140541</v>
      </c>
      <c r="G26" s="32"/>
      <c r="H26" s="70">
        <f t="shared" si="0"/>
        <v>140541</v>
      </c>
    </row>
    <row r="27" spans="1:8" s="38" customFormat="1" ht="13.5" customHeight="1">
      <c r="A27" s="53"/>
      <c r="B27" s="36"/>
      <c r="C27" s="489" t="s">
        <v>300</v>
      </c>
      <c r="D27" s="489"/>
      <c r="E27" s="489"/>
      <c r="F27" s="32">
        <v>20224</v>
      </c>
      <c r="G27" s="32"/>
      <c r="H27" s="70">
        <f t="shared" si="0"/>
        <v>20224</v>
      </c>
    </row>
    <row r="28" spans="1:8" s="38" customFormat="1" ht="13.5" customHeight="1">
      <c r="A28" s="53"/>
      <c r="B28" s="36"/>
      <c r="C28" s="489" t="s">
        <v>517</v>
      </c>
      <c r="D28" s="489"/>
      <c r="E28" s="489"/>
      <c r="F28" s="32">
        <f>389211</f>
        <v>389211</v>
      </c>
      <c r="G28" s="32"/>
      <c r="H28" s="70">
        <f t="shared" si="0"/>
        <v>389211</v>
      </c>
    </row>
    <row r="29" spans="1:8" s="38" customFormat="1" ht="21" customHeight="1">
      <c r="A29" s="53"/>
      <c r="B29" s="36"/>
      <c r="C29" s="489" t="s">
        <v>525</v>
      </c>
      <c r="D29" s="489"/>
      <c r="E29" s="489"/>
      <c r="F29" s="32">
        <f>253864</f>
        <v>253864</v>
      </c>
      <c r="G29" s="32"/>
      <c r="H29" s="70">
        <f t="shared" si="0"/>
        <v>253864</v>
      </c>
    </row>
    <row r="30" spans="1:8" s="38" customFormat="1" ht="24" customHeight="1">
      <c r="A30" s="53"/>
      <c r="B30" s="36"/>
      <c r="C30" s="489" t="s">
        <v>397</v>
      </c>
      <c r="D30" s="489"/>
      <c r="E30" s="489"/>
      <c r="F30" s="32">
        <v>83177</v>
      </c>
      <c r="G30" s="32"/>
      <c r="H30" s="70">
        <f t="shared" si="0"/>
        <v>83177</v>
      </c>
    </row>
    <row r="31" spans="1:8" s="38" customFormat="1" ht="23.25" customHeight="1">
      <c r="A31" s="53"/>
      <c r="B31" s="36"/>
      <c r="C31" s="489" t="s">
        <v>398</v>
      </c>
      <c r="D31" s="489"/>
      <c r="E31" s="489"/>
      <c r="F31" s="32">
        <v>802452</v>
      </c>
      <c r="G31" s="32"/>
      <c r="H31" s="70">
        <f t="shared" si="0"/>
        <v>802452</v>
      </c>
    </row>
    <row r="32" spans="1:8" s="38" customFormat="1" ht="12.75" customHeight="1">
      <c r="A32" s="53"/>
      <c r="B32" s="36"/>
      <c r="C32" s="489" t="s">
        <v>580</v>
      </c>
      <c r="D32" s="489"/>
      <c r="E32" s="489"/>
      <c r="F32" s="32">
        <f>508246</f>
        <v>508246</v>
      </c>
      <c r="G32" s="32"/>
      <c r="H32" s="70">
        <f t="shared" si="0"/>
        <v>508246</v>
      </c>
    </row>
    <row r="33" spans="1:8" s="38" customFormat="1" ht="33" customHeight="1">
      <c r="A33" s="53"/>
      <c r="B33" s="36"/>
      <c r="C33" s="489" t="s">
        <v>581</v>
      </c>
      <c r="D33" s="489"/>
      <c r="E33" s="489"/>
      <c r="F33" s="32">
        <f>1108404</f>
        <v>1108404</v>
      </c>
      <c r="G33" s="32"/>
      <c r="H33" s="70">
        <f t="shared" si="0"/>
        <v>1108404</v>
      </c>
    </row>
    <row r="34" spans="1:9" s="38" customFormat="1" ht="13.5" customHeight="1">
      <c r="A34" s="53"/>
      <c r="B34" s="36"/>
      <c r="C34" s="176"/>
      <c r="D34" s="176"/>
      <c r="E34" s="176"/>
      <c r="F34" s="32"/>
      <c r="G34" s="32"/>
      <c r="H34" s="70"/>
      <c r="I34" s="179"/>
    </row>
    <row r="35" spans="1:9" s="38" customFormat="1" ht="12.75">
      <c r="A35" s="114" t="s">
        <v>246</v>
      </c>
      <c r="B35" s="66" t="s">
        <v>233</v>
      </c>
      <c r="C35" s="66"/>
      <c r="D35" s="66"/>
      <c r="E35" s="66"/>
      <c r="F35" s="180">
        <f>F36+F60</f>
        <v>-3713696</v>
      </c>
      <c r="G35" s="60">
        <f>G36+G60</f>
        <v>-250146</v>
      </c>
      <c r="H35" s="60">
        <f>H36+H60</f>
        <v>-3963842</v>
      </c>
      <c r="I35" s="179"/>
    </row>
    <row r="36" spans="1:10" s="38" customFormat="1" ht="11.25" customHeight="1">
      <c r="A36" s="53"/>
      <c r="B36" s="508" t="s">
        <v>196</v>
      </c>
      <c r="C36" s="509"/>
      <c r="D36" s="509"/>
      <c r="E36" s="509"/>
      <c r="F36" s="71">
        <f>SUM(F37:F58)</f>
        <v>-2790160</v>
      </c>
      <c r="G36" s="71">
        <f>SUM(G37:G58)</f>
        <v>-250146</v>
      </c>
      <c r="H36" s="71">
        <f>SUM(H37:H58)</f>
        <v>-3040306</v>
      </c>
      <c r="I36" s="179"/>
      <c r="J36" s="179"/>
    </row>
    <row r="37" spans="1:9" s="284" customFormat="1" ht="11.25" customHeight="1">
      <c r="A37" s="279"/>
      <c r="B37" s="280"/>
      <c r="C37" s="490" t="s">
        <v>554</v>
      </c>
      <c r="D37" s="490"/>
      <c r="E37" s="490"/>
      <c r="F37" s="281">
        <v>-18886</v>
      </c>
      <c r="G37" s="281"/>
      <c r="H37" s="282">
        <f>SUM(F37:G37)</f>
        <v>-18886</v>
      </c>
      <c r="I37" s="283"/>
    </row>
    <row r="38" spans="1:8" s="284" customFormat="1" ht="11.25" customHeight="1">
      <c r="A38" s="279"/>
      <c r="B38" s="280"/>
      <c r="C38" s="490" t="s">
        <v>555</v>
      </c>
      <c r="D38" s="490"/>
      <c r="E38" s="490"/>
      <c r="F38" s="281">
        <v>-46731</v>
      </c>
      <c r="G38" s="281"/>
      <c r="H38" s="282">
        <f>SUM(F38:G38)</f>
        <v>-46731</v>
      </c>
    </row>
    <row r="39" spans="1:9" s="284" customFormat="1" ht="21" customHeight="1">
      <c r="A39" s="279"/>
      <c r="B39" s="280"/>
      <c r="C39" s="491" t="s">
        <v>556</v>
      </c>
      <c r="D39" s="491"/>
      <c r="E39" s="491"/>
      <c r="F39" s="281">
        <v>-655134</v>
      </c>
      <c r="G39" s="285"/>
      <c r="H39" s="282">
        <f aca="true" t="shared" si="1" ref="H39:H52">SUM(F39:G39)</f>
        <v>-655134</v>
      </c>
      <c r="I39" s="283"/>
    </row>
    <row r="40" spans="1:9" s="284" customFormat="1" ht="21" customHeight="1">
      <c r="A40" s="279"/>
      <c r="B40" s="280"/>
      <c r="C40" s="491" t="s">
        <v>557</v>
      </c>
      <c r="D40" s="491"/>
      <c r="E40" s="491"/>
      <c r="F40" s="281">
        <f>-706-33033</f>
        <v>-33739</v>
      </c>
      <c r="G40" s="285"/>
      <c r="H40" s="282">
        <f t="shared" si="1"/>
        <v>-33739</v>
      </c>
      <c r="I40" s="283"/>
    </row>
    <row r="41" spans="1:10" s="284" customFormat="1" ht="21" customHeight="1">
      <c r="A41" s="279"/>
      <c r="B41" s="280"/>
      <c r="C41" s="491" t="s">
        <v>558</v>
      </c>
      <c r="D41" s="491"/>
      <c r="E41" s="491"/>
      <c r="F41" s="281">
        <v>-61644</v>
      </c>
      <c r="G41" s="285"/>
      <c r="H41" s="282">
        <f t="shared" si="1"/>
        <v>-61644</v>
      </c>
      <c r="I41" s="283"/>
      <c r="J41" s="283"/>
    </row>
    <row r="42" spans="1:8" s="284" customFormat="1" ht="21" customHeight="1">
      <c r="A42" s="279"/>
      <c r="B42" s="280"/>
      <c r="C42" s="491" t="s">
        <v>559</v>
      </c>
      <c r="D42" s="491"/>
      <c r="E42" s="491"/>
      <c r="F42" s="281">
        <v>-16009</v>
      </c>
      <c r="G42" s="285"/>
      <c r="H42" s="282">
        <f t="shared" si="1"/>
        <v>-16009</v>
      </c>
    </row>
    <row r="43" spans="1:8" s="284" customFormat="1" ht="12.75" customHeight="1">
      <c r="A43" s="279"/>
      <c r="B43" s="280"/>
      <c r="C43" s="491" t="s">
        <v>560</v>
      </c>
      <c r="D43" s="491"/>
      <c r="E43" s="491"/>
      <c r="F43" s="281">
        <v>-67468</v>
      </c>
      <c r="G43" s="281"/>
      <c r="H43" s="282">
        <f t="shared" si="1"/>
        <v>-67468</v>
      </c>
    </row>
    <row r="44" spans="1:8" s="284" customFormat="1" ht="12.75" customHeight="1">
      <c r="A44" s="279"/>
      <c r="B44" s="280"/>
      <c r="C44" s="491" t="s">
        <v>427</v>
      </c>
      <c r="D44" s="491"/>
      <c r="E44" s="491"/>
      <c r="F44" s="281">
        <v>-101252</v>
      </c>
      <c r="G44" s="281"/>
      <c r="H44" s="282">
        <f t="shared" si="1"/>
        <v>-101252</v>
      </c>
    </row>
    <row r="45" spans="1:8" s="284" customFormat="1" ht="12.75" customHeight="1">
      <c r="A45" s="279"/>
      <c r="B45" s="280"/>
      <c r="C45" s="490" t="s">
        <v>561</v>
      </c>
      <c r="D45" s="490"/>
      <c r="E45" s="490"/>
      <c r="F45" s="281">
        <v>-51696</v>
      </c>
      <c r="G45" s="281"/>
      <c r="H45" s="282">
        <f t="shared" si="1"/>
        <v>-51696</v>
      </c>
    </row>
    <row r="46" spans="1:8" s="284" customFormat="1" ht="12.75" customHeight="1">
      <c r="A46" s="279"/>
      <c r="B46" s="280"/>
      <c r="C46" s="490" t="s">
        <v>511</v>
      </c>
      <c r="D46" s="490"/>
      <c r="E46" s="490"/>
      <c r="F46" s="281">
        <v>-97822</v>
      </c>
      <c r="G46" s="281"/>
      <c r="H46" s="282">
        <f t="shared" si="1"/>
        <v>-97822</v>
      </c>
    </row>
    <row r="47" spans="1:8" s="284" customFormat="1" ht="12.75" customHeight="1">
      <c r="A47" s="279"/>
      <c r="B47" s="280"/>
      <c r="C47" s="490" t="s">
        <v>562</v>
      </c>
      <c r="D47" s="490"/>
      <c r="E47" s="490"/>
      <c r="F47" s="281">
        <v>-105544</v>
      </c>
      <c r="G47" s="281"/>
      <c r="H47" s="282">
        <f t="shared" si="1"/>
        <v>-105544</v>
      </c>
    </row>
    <row r="48" spans="1:8" s="284" customFormat="1" ht="12.75" customHeight="1">
      <c r="A48" s="279"/>
      <c r="B48" s="280"/>
      <c r="C48" s="490" t="s">
        <v>448</v>
      </c>
      <c r="D48" s="490"/>
      <c r="E48" s="490"/>
      <c r="F48" s="281">
        <v>-293443</v>
      </c>
      <c r="G48" s="281"/>
      <c r="H48" s="282">
        <f t="shared" si="1"/>
        <v>-293443</v>
      </c>
    </row>
    <row r="49" spans="1:8" s="284" customFormat="1" ht="12.75" customHeight="1">
      <c r="A49" s="279"/>
      <c r="B49" s="280"/>
      <c r="C49" s="490" t="s">
        <v>449</v>
      </c>
      <c r="D49" s="490"/>
      <c r="E49" s="490"/>
      <c r="F49" s="281">
        <v>-69271</v>
      </c>
      <c r="G49" s="281"/>
      <c r="H49" s="282">
        <f t="shared" si="1"/>
        <v>-69271</v>
      </c>
    </row>
    <row r="50" spans="1:8" s="284" customFormat="1" ht="12.75" customHeight="1">
      <c r="A50" s="279"/>
      <c r="B50" s="280"/>
      <c r="C50" s="490" t="s">
        <v>512</v>
      </c>
      <c r="D50" s="490"/>
      <c r="E50" s="490"/>
      <c r="F50" s="281">
        <v>-166220</v>
      </c>
      <c r="G50" s="281"/>
      <c r="H50" s="282">
        <f t="shared" si="1"/>
        <v>-166220</v>
      </c>
    </row>
    <row r="51" spans="1:8" s="284" customFormat="1" ht="12.75" customHeight="1">
      <c r="A51" s="279"/>
      <c r="B51" s="280"/>
      <c r="C51" s="490" t="s">
        <v>28</v>
      </c>
      <c r="D51" s="490"/>
      <c r="E51" s="490"/>
      <c r="F51" s="281">
        <v>-72279</v>
      </c>
      <c r="G51" s="281"/>
      <c r="H51" s="282">
        <f t="shared" si="1"/>
        <v>-72279</v>
      </c>
    </row>
    <row r="52" spans="1:8" s="284" customFormat="1" ht="12.75" customHeight="1">
      <c r="A52" s="279"/>
      <c r="B52" s="280"/>
      <c r="C52" s="490" t="s">
        <v>563</v>
      </c>
      <c r="D52" s="490"/>
      <c r="E52" s="490"/>
      <c r="F52" s="281">
        <v>-87550</v>
      </c>
      <c r="G52" s="281"/>
      <c r="H52" s="282">
        <f t="shared" si="1"/>
        <v>-87550</v>
      </c>
    </row>
    <row r="53" spans="1:8" s="284" customFormat="1" ht="12.75" customHeight="1">
      <c r="A53" s="279"/>
      <c r="B53" s="280"/>
      <c r="C53" s="490" t="s">
        <v>564</v>
      </c>
      <c r="D53" s="490"/>
      <c r="E53" s="490"/>
      <c r="F53" s="281">
        <v>-117042</v>
      </c>
      <c r="G53" s="281"/>
      <c r="H53" s="282">
        <f aca="true" t="shared" si="2" ref="H53:H58">SUM(F53:G53)</f>
        <v>-117042</v>
      </c>
    </row>
    <row r="54" spans="1:8" s="284" customFormat="1" ht="12.75" customHeight="1">
      <c r="A54" s="279"/>
      <c r="B54" s="280"/>
      <c r="C54" s="491" t="s">
        <v>565</v>
      </c>
      <c r="D54" s="491"/>
      <c r="E54" s="491"/>
      <c r="F54" s="281">
        <v>-353794</v>
      </c>
      <c r="G54" s="281">
        <v>-16134</v>
      </c>
      <c r="H54" s="282">
        <f t="shared" si="2"/>
        <v>-369928</v>
      </c>
    </row>
    <row r="55" spans="1:8" s="284" customFormat="1" ht="12.75" customHeight="1">
      <c r="A55" s="279"/>
      <c r="B55" s="280"/>
      <c r="C55" s="491" t="s">
        <v>566</v>
      </c>
      <c r="D55" s="491"/>
      <c r="E55" s="491"/>
      <c r="F55" s="281">
        <f>-200694</f>
        <v>-200694</v>
      </c>
      <c r="G55" s="281">
        <v>-322</v>
      </c>
      <c r="H55" s="282">
        <f t="shared" si="2"/>
        <v>-201016</v>
      </c>
    </row>
    <row r="56" spans="1:8" s="284" customFormat="1" ht="21" customHeight="1">
      <c r="A56" s="279"/>
      <c r="B56" s="280"/>
      <c r="C56" s="491" t="s">
        <v>567</v>
      </c>
      <c r="D56" s="491"/>
      <c r="E56" s="491"/>
      <c r="F56" s="281">
        <f>-173942</f>
        <v>-173942</v>
      </c>
      <c r="G56" s="281"/>
      <c r="H56" s="282">
        <f t="shared" si="2"/>
        <v>-173942</v>
      </c>
    </row>
    <row r="57" spans="1:8" s="284" customFormat="1" ht="11.25" customHeight="1">
      <c r="A57" s="279"/>
      <c r="B57" s="280"/>
      <c r="C57" s="491" t="s">
        <v>593</v>
      </c>
      <c r="D57" s="491"/>
      <c r="E57" s="491"/>
      <c r="F57" s="281"/>
      <c r="G57" s="281">
        <v>-138000</v>
      </c>
      <c r="H57" s="282">
        <f t="shared" si="2"/>
        <v>-138000</v>
      </c>
    </row>
    <row r="58" spans="1:8" s="284" customFormat="1" ht="11.25" customHeight="1">
      <c r="A58" s="279"/>
      <c r="B58" s="280"/>
      <c r="C58" s="491" t="s">
        <v>592</v>
      </c>
      <c r="D58" s="491"/>
      <c r="E58" s="491"/>
      <c r="F58" s="281"/>
      <c r="G58" s="281">
        <v>-95690</v>
      </c>
      <c r="H58" s="282">
        <f t="shared" si="2"/>
        <v>-95690</v>
      </c>
    </row>
    <row r="59" spans="1:7" s="287" customFormat="1" ht="12.75" customHeight="1">
      <c r="A59" s="286"/>
      <c r="F59" s="288"/>
      <c r="G59" s="288"/>
    </row>
    <row r="60" spans="1:8" s="284" customFormat="1" ht="12.75" customHeight="1">
      <c r="A60" s="279"/>
      <c r="B60" s="506" t="s">
        <v>198</v>
      </c>
      <c r="C60" s="507"/>
      <c r="D60" s="507"/>
      <c r="E60" s="507"/>
      <c r="F60" s="289">
        <f>F61+F62+F63+F64+F65+F66+F67+F68+F69</f>
        <v>-923536</v>
      </c>
      <c r="G60" s="289">
        <f>G61+G62+G63+G64+G65+G66+G67+G68+G69</f>
        <v>0</v>
      </c>
      <c r="H60" s="289">
        <f>H61+H62+H63+H64+H65+H66+H67+H68+H69</f>
        <v>-923536</v>
      </c>
    </row>
    <row r="61" spans="1:9" s="292" customFormat="1" ht="12" customHeight="1">
      <c r="A61" s="279"/>
      <c r="B61" s="290"/>
      <c r="C61" s="290" t="s">
        <v>450</v>
      </c>
      <c r="D61" s="290"/>
      <c r="E61" s="290"/>
      <c r="F61" s="281">
        <v>-630221</v>
      </c>
      <c r="G61" s="281"/>
      <c r="H61" s="282">
        <f>SUM(F61:G61)</f>
        <v>-630221</v>
      </c>
      <c r="I61" s="291"/>
    </row>
    <row r="62" spans="1:8" s="292" customFormat="1" ht="12" customHeight="1">
      <c r="A62" s="279"/>
      <c r="B62" s="290"/>
      <c r="C62" s="290" t="s">
        <v>451</v>
      </c>
      <c r="D62" s="290"/>
      <c r="E62" s="290"/>
      <c r="F62" s="281">
        <v>-205260</v>
      </c>
      <c r="G62" s="281"/>
      <c r="H62" s="282">
        <f aca="true" t="shared" si="3" ref="H62:H69">SUM(F62:G62)</f>
        <v>-205260</v>
      </c>
    </row>
    <row r="63" spans="1:8" s="292" customFormat="1" ht="12" customHeight="1">
      <c r="A63" s="279"/>
      <c r="B63" s="300"/>
      <c r="C63" s="300" t="s">
        <v>452</v>
      </c>
      <c r="D63" s="300"/>
      <c r="E63" s="300"/>
      <c r="F63" s="281">
        <v>-32674</v>
      </c>
      <c r="G63" s="281"/>
      <c r="H63" s="282">
        <f t="shared" si="3"/>
        <v>-32674</v>
      </c>
    </row>
    <row r="64" spans="1:8" s="292" customFormat="1" ht="12" customHeight="1">
      <c r="A64" s="279"/>
      <c r="B64" s="270"/>
      <c r="C64" s="491" t="s">
        <v>262</v>
      </c>
      <c r="D64" s="491"/>
      <c r="E64" s="491"/>
      <c r="F64" s="281">
        <v>-4400</v>
      </c>
      <c r="G64" s="281"/>
      <c r="H64" s="282">
        <f t="shared" si="3"/>
        <v>-4400</v>
      </c>
    </row>
    <row r="65" spans="1:8" s="292" customFormat="1" ht="12" customHeight="1">
      <c r="A65" s="279"/>
      <c r="B65" s="270"/>
      <c r="C65" s="491" t="s">
        <v>222</v>
      </c>
      <c r="D65" s="491"/>
      <c r="E65" s="491"/>
      <c r="F65" s="281">
        <v>-15884</v>
      </c>
      <c r="G65" s="281"/>
      <c r="H65" s="282">
        <f t="shared" si="3"/>
        <v>-15884</v>
      </c>
    </row>
    <row r="66" spans="1:8" s="292" customFormat="1" ht="12" customHeight="1">
      <c r="A66" s="279"/>
      <c r="B66" s="270"/>
      <c r="C66" s="491" t="s">
        <v>225</v>
      </c>
      <c r="D66" s="491"/>
      <c r="E66" s="491"/>
      <c r="F66" s="281">
        <v>-6440</v>
      </c>
      <c r="G66" s="281"/>
      <c r="H66" s="282">
        <f t="shared" si="3"/>
        <v>-6440</v>
      </c>
    </row>
    <row r="67" spans="1:8" s="292" customFormat="1" ht="12" customHeight="1">
      <c r="A67" s="279"/>
      <c r="B67" s="270"/>
      <c r="C67" s="491" t="s">
        <v>412</v>
      </c>
      <c r="D67" s="491"/>
      <c r="E67" s="491"/>
      <c r="F67" s="281">
        <v>-6445</v>
      </c>
      <c r="G67" s="281"/>
      <c r="H67" s="282">
        <f t="shared" si="3"/>
        <v>-6445</v>
      </c>
    </row>
    <row r="68" spans="1:8" s="292" customFormat="1" ht="12" customHeight="1">
      <c r="A68" s="279"/>
      <c r="B68" s="270"/>
      <c r="C68" s="491" t="s">
        <v>232</v>
      </c>
      <c r="D68" s="491"/>
      <c r="E68" s="491"/>
      <c r="F68" s="281">
        <v>-19314</v>
      </c>
      <c r="G68" s="281"/>
      <c r="H68" s="282">
        <f t="shared" si="3"/>
        <v>-19314</v>
      </c>
    </row>
    <row r="69" spans="1:8" s="292" customFormat="1" ht="12" customHeight="1">
      <c r="A69" s="279"/>
      <c r="B69" s="270"/>
      <c r="C69" s="491" t="s">
        <v>513</v>
      </c>
      <c r="D69" s="491"/>
      <c r="E69" s="491"/>
      <c r="F69" s="281">
        <v>-2898</v>
      </c>
      <c r="G69" s="281"/>
      <c r="H69" s="282">
        <f t="shared" si="3"/>
        <v>-2898</v>
      </c>
    </row>
    <row r="70" spans="1:7" s="287" customFormat="1" ht="9" customHeight="1">
      <c r="A70" s="286"/>
      <c r="F70" s="288"/>
      <c r="G70" s="288"/>
    </row>
    <row r="71" spans="1:8" s="296" customFormat="1" ht="12.75">
      <c r="A71" s="293" t="s">
        <v>247</v>
      </c>
      <c r="B71" s="504" t="s">
        <v>197</v>
      </c>
      <c r="C71" s="504"/>
      <c r="D71" s="504"/>
      <c r="E71" s="504"/>
      <c r="F71" s="294">
        <f>F72+F73</f>
        <v>-164261</v>
      </c>
      <c r="G71" s="295">
        <f>G72+G73</f>
        <v>-150000</v>
      </c>
      <c r="H71" s="295">
        <f>H72+H73</f>
        <v>-314261</v>
      </c>
    </row>
    <row r="72" spans="1:8" s="292" customFormat="1" ht="12.75" customHeight="1">
      <c r="A72" s="297"/>
      <c r="B72" s="505" t="s">
        <v>75</v>
      </c>
      <c r="C72" s="505"/>
      <c r="D72" s="505"/>
      <c r="E72" s="505"/>
      <c r="F72" s="281">
        <f>-164261</f>
        <v>-164261</v>
      </c>
      <c r="G72" s="281"/>
      <c r="H72" s="282">
        <f>F72+G72</f>
        <v>-164261</v>
      </c>
    </row>
    <row r="73" spans="1:8" s="287" customFormat="1" ht="12.75" customHeight="1">
      <c r="A73" s="286"/>
      <c r="B73" s="505" t="s">
        <v>594</v>
      </c>
      <c r="C73" s="505"/>
      <c r="D73" s="505"/>
      <c r="E73" s="505"/>
      <c r="F73" s="298"/>
      <c r="G73" s="298">
        <v>-150000</v>
      </c>
      <c r="H73" s="282">
        <f>F73+G73</f>
        <v>-150000</v>
      </c>
    </row>
    <row r="74" spans="1:7" s="287" customFormat="1" ht="12.75" customHeight="1">
      <c r="A74" s="286"/>
      <c r="F74" s="288"/>
      <c r="G74" s="288"/>
    </row>
    <row r="75" spans="1:8" s="287" customFormat="1" ht="12.75">
      <c r="A75" s="286"/>
      <c r="B75" s="501" t="s">
        <v>521</v>
      </c>
      <c r="C75" s="501"/>
      <c r="D75" s="501"/>
      <c r="E75" s="501"/>
      <c r="F75" s="502" t="s">
        <v>520</v>
      </c>
      <c r="G75" s="503"/>
      <c r="H75" s="503"/>
    </row>
    <row r="76" spans="1:7" s="287" customFormat="1" ht="12.75">
      <c r="A76" s="286"/>
      <c r="F76" s="288"/>
      <c r="G76" s="288"/>
    </row>
  </sheetData>
  <mergeCells count="60">
    <mergeCell ref="C32:E32"/>
    <mergeCell ref="C55:E55"/>
    <mergeCell ref="C53:E53"/>
    <mergeCell ref="B60:E60"/>
    <mergeCell ref="C54:E54"/>
    <mergeCell ref="C39:E39"/>
    <mergeCell ref="C41:E41"/>
    <mergeCell ref="B36:E36"/>
    <mergeCell ref="C38:E38"/>
    <mergeCell ref="C58:E58"/>
    <mergeCell ref="C66:E66"/>
    <mergeCell ref="C65:E65"/>
    <mergeCell ref="C56:E56"/>
    <mergeCell ref="C69:E69"/>
    <mergeCell ref="C67:E67"/>
    <mergeCell ref="C64:E64"/>
    <mergeCell ref="C68:E68"/>
    <mergeCell ref="C57:E57"/>
    <mergeCell ref="B75:E75"/>
    <mergeCell ref="F75:H75"/>
    <mergeCell ref="C48:E48"/>
    <mergeCell ref="C49:E49"/>
    <mergeCell ref="C50:E50"/>
    <mergeCell ref="C52:E52"/>
    <mergeCell ref="B71:E71"/>
    <mergeCell ref="B72:E72"/>
    <mergeCell ref="C51:E51"/>
    <mergeCell ref="B73:E73"/>
    <mergeCell ref="B15:E15"/>
    <mergeCell ref="C16:E16"/>
    <mergeCell ref="B19:E19"/>
    <mergeCell ref="B22:E22"/>
    <mergeCell ref="C17:E17"/>
    <mergeCell ref="B21:E21"/>
    <mergeCell ref="C18:E18"/>
    <mergeCell ref="C30:E30"/>
    <mergeCell ref="B6:G6"/>
    <mergeCell ref="B12:E12"/>
    <mergeCell ref="B13:E13"/>
    <mergeCell ref="B14:E14"/>
    <mergeCell ref="B8:E8"/>
    <mergeCell ref="B9:E9"/>
    <mergeCell ref="B10:E10"/>
    <mergeCell ref="C23:E23"/>
    <mergeCell ref="C25:E25"/>
    <mergeCell ref="C24:E24"/>
    <mergeCell ref="C29:E29"/>
    <mergeCell ref="C27:E27"/>
    <mergeCell ref="C28:E28"/>
    <mergeCell ref="C26:E26"/>
    <mergeCell ref="C31:E31"/>
    <mergeCell ref="C47:E47"/>
    <mergeCell ref="C46:E46"/>
    <mergeCell ref="C37:E37"/>
    <mergeCell ref="C45:E45"/>
    <mergeCell ref="C43:E43"/>
    <mergeCell ref="C44:E44"/>
    <mergeCell ref="C40:E40"/>
    <mergeCell ref="C42:E42"/>
    <mergeCell ref="C33:E33"/>
  </mergeCells>
  <printOptions/>
  <pageMargins left="0.26" right="0.16" top="0.33" bottom="0.31" header="0.26" footer="0.2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N77"/>
  <sheetViews>
    <sheetView workbookViewId="0" topLeftCell="D1">
      <selection activeCell="M3" sqref="M3:N5"/>
    </sheetView>
  </sheetViews>
  <sheetFormatPr defaultColWidth="9.140625" defaultRowHeight="12.75"/>
  <cols>
    <col min="1" max="1" width="8.7109375" style="0" customWidth="1"/>
    <col min="2" max="2" width="19.8515625" style="0" customWidth="1"/>
    <col min="4" max="4" width="26.57421875" style="0" customWidth="1"/>
    <col min="5" max="5" width="8.8515625" style="0" customWidth="1"/>
    <col min="6" max="6" width="10.140625" style="0" customWidth="1"/>
    <col min="7" max="7" width="11.421875" style="0" customWidth="1"/>
    <col min="8" max="8" width="10.28125" style="0" customWidth="1"/>
    <col min="9" max="9" width="10.7109375" style="0" customWidth="1"/>
    <col min="10" max="10" width="10.00390625" style="0" customWidth="1"/>
    <col min="11" max="12" width="9.7109375" style="0" customWidth="1"/>
    <col min="13" max="13" width="11.00390625" style="0" customWidth="1"/>
    <col min="14" max="14" width="12.421875" style="0" customWidth="1"/>
  </cols>
  <sheetData>
    <row r="2" spans="13:14" ht="12.75">
      <c r="M2" s="123" t="s">
        <v>261</v>
      </c>
      <c r="N2" s="123"/>
    </row>
    <row r="3" spans="13:14" ht="12.75">
      <c r="M3" s="3" t="s">
        <v>606</v>
      </c>
      <c r="N3" s="14"/>
    </row>
    <row r="4" spans="13:14" ht="12.75">
      <c r="M4" s="3" t="s">
        <v>607</v>
      </c>
      <c r="N4" s="14"/>
    </row>
    <row r="5" spans="13:14" ht="12.75">
      <c r="M5" s="3" t="s">
        <v>608</v>
      </c>
      <c r="N5" s="14"/>
    </row>
    <row r="6" spans="13:14" ht="0.75" customHeight="1" hidden="1">
      <c r="M6" s="123" t="s">
        <v>261</v>
      </c>
      <c r="N6" s="123"/>
    </row>
    <row r="7" spans="13:14" ht="12.75" hidden="1">
      <c r="M7" s="123" t="s">
        <v>428</v>
      </c>
      <c r="N7" s="123"/>
    </row>
    <row r="8" spans="13:14" ht="12.75" hidden="1">
      <c r="M8" s="4" t="s">
        <v>240</v>
      </c>
      <c r="N8" s="4"/>
    </row>
    <row r="9" spans="13:14" ht="12.75" hidden="1">
      <c r="M9" s="84" t="s">
        <v>241</v>
      </c>
      <c r="N9" s="84"/>
    </row>
    <row r="10" spans="1:14" ht="12.75">
      <c r="A10" s="215" t="s">
        <v>320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ht="12.75">
      <c r="A11" s="217"/>
      <c r="B11" s="217"/>
      <c r="C11" s="217"/>
      <c r="D11" s="217"/>
      <c r="E11" s="217"/>
      <c r="F11" s="510"/>
      <c r="G11" s="510"/>
      <c r="H11" s="510"/>
      <c r="I11" s="510"/>
      <c r="J11" s="510"/>
      <c r="K11" s="510"/>
      <c r="L11" s="510"/>
      <c r="M11" s="510"/>
      <c r="N11" s="510"/>
    </row>
    <row r="12" spans="1:14" ht="45">
      <c r="A12" s="220" t="s">
        <v>596</v>
      </c>
      <c r="B12" s="220" t="s">
        <v>322</v>
      </c>
      <c r="C12" s="220" t="s">
        <v>323</v>
      </c>
      <c r="D12" s="220" t="s">
        <v>324</v>
      </c>
      <c r="E12" s="220" t="s">
        <v>325</v>
      </c>
      <c r="F12" s="220">
        <v>2011</v>
      </c>
      <c r="G12" s="220">
        <v>2012</v>
      </c>
      <c r="H12" s="220">
        <v>2013</v>
      </c>
      <c r="I12" s="220">
        <v>2014</v>
      </c>
      <c r="J12" s="220">
        <v>2015</v>
      </c>
      <c r="K12" s="220">
        <v>2016</v>
      </c>
      <c r="L12" s="220">
        <v>2017</v>
      </c>
      <c r="M12" s="220" t="s">
        <v>326</v>
      </c>
      <c r="N12" s="220" t="s">
        <v>327</v>
      </c>
    </row>
    <row r="13" spans="1:14" ht="12.75">
      <c r="A13" s="219" t="s">
        <v>328</v>
      </c>
      <c r="B13" s="219" t="s">
        <v>329</v>
      </c>
      <c r="C13" s="219" t="s">
        <v>330</v>
      </c>
      <c r="D13" s="219" t="s">
        <v>331</v>
      </c>
      <c r="E13" s="219" t="s">
        <v>332</v>
      </c>
      <c r="F13" s="219">
        <v>1</v>
      </c>
      <c r="G13" s="219">
        <v>2</v>
      </c>
      <c r="H13" s="219">
        <v>3</v>
      </c>
      <c r="I13" s="219">
        <v>4</v>
      </c>
      <c r="J13" s="219">
        <v>5</v>
      </c>
      <c r="K13" s="219">
        <v>6</v>
      </c>
      <c r="L13" s="219">
        <v>7</v>
      </c>
      <c r="M13" s="219">
        <v>8</v>
      </c>
      <c r="N13" s="219">
        <v>9</v>
      </c>
    </row>
    <row r="14" spans="1:14" ht="12.75">
      <c r="A14" s="221" t="s">
        <v>193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4" ht="42.75" customHeight="1">
      <c r="A15" s="226" t="s">
        <v>333</v>
      </c>
      <c r="B15" s="222" t="s">
        <v>334</v>
      </c>
      <c r="C15" s="222" t="s">
        <v>335</v>
      </c>
      <c r="D15" s="223" t="s">
        <v>429</v>
      </c>
      <c r="E15" s="222" t="s">
        <v>336</v>
      </c>
      <c r="F15" s="224">
        <v>100769</v>
      </c>
      <c r="G15" s="224">
        <v>98223</v>
      </c>
      <c r="H15" s="224">
        <v>95506</v>
      </c>
      <c r="I15" s="224">
        <v>92788</v>
      </c>
      <c r="J15" s="224">
        <v>90071</v>
      </c>
      <c r="K15" s="224">
        <v>87354</v>
      </c>
      <c r="L15" s="224">
        <v>84637</v>
      </c>
      <c r="M15" s="224">
        <v>765064</v>
      </c>
      <c r="N15" s="225">
        <f aca="true" t="shared" si="0" ref="N15:N23">SUM(F15:M15)</f>
        <v>1414412</v>
      </c>
    </row>
    <row r="16" spans="1:14" ht="24" customHeight="1">
      <c r="A16" s="226" t="s">
        <v>333</v>
      </c>
      <c r="B16" s="222" t="s">
        <v>334</v>
      </c>
      <c r="C16" s="222" t="s">
        <v>335</v>
      </c>
      <c r="D16" s="223" t="s">
        <v>337</v>
      </c>
      <c r="E16" s="222" t="s">
        <v>338</v>
      </c>
      <c r="F16" s="224">
        <v>138453</v>
      </c>
      <c r="G16" s="224">
        <v>133990</v>
      </c>
      <c r="H16" s="224">
        <v>129228</v>
      </c>
      <c r="I16" s="224">
        <v>124465</v>
      </c>
      <c r="J16" s="224">
        <v>119703</v>
      </c>
      <c r="K16" s="224">
        <v>114941</v>
      </c>
      <c r="L16" s="224">
        <v>110179</v>
      </c>
      <c r="M16" s="224">
        <v>105704</v>
      </c>
      <c r="N16" s="225">
        <f t="shared" si="0"/>
        <v>976663</v>
      </c>
    </row>
    <row r="17" spans="1:14" ht="45.75" customHeight="1">
      <c r="A17" s="226" t="s">
        <v>333</v>
      </c>
      <c r="B17" s="222" t="s">
        <v>334</v>
      </c>
      <c r="C17" s="222" t="s">
        <v>335</v>
      </c>
      <c r="D17" s="227" t="s">
        <v>339</v>
      </c>
      <c r="E17" s="222" t="s">
        <v>340</v>
      </c>
      <c r="F17" s="224">
        <v>2094</v>
      </c>
      <c r="G17" s="224">
        <v>3136</v>
      </c>
      <c r="H17" s="224">
        <v>3091</v>
      </c>
      <c r="I17" s="224">
        <v>2992</v>
      </c>
      <c r="J17" s="224">
        <v>2894</v>
      </c>
      <c r="K17" s="224">
        <v>2795</v>
      </c>
      <c r="L17" s="224">
        <v>2696</v>
      </c>
      <c r="M17" s="224">
        <v>15124</v>
      </c>
      <c r="N17" s="225">
        <f t="shared" si="0"/>
        <v>34822</v>
      </c>
    </row>
    <row r="18" spans="1:14" ht="54" customHeight="1">
      <c r="A18" s="226" t="s">
        <v>333</v>
      </c>
      <c r="B18" s="222" t="s">
        <v>334</v>
      </c>
      <c r="C18" s="222" t="s">
        <v>335</v>
      </c>
      <c r="D18" s="223" t="s">
        <v>341</v>
      </c>
      <c r="E18" s="222" t="s">
        <v>342</v>
      </c>
      <c r="F18" s="224">
        <v>11390</v>
      </c>
      <c r="G18" s="224">
        <v>5936</v>
      </c>
      <c r="H18" s="224">
        <v>3299</v>
      </c>
      <c r="I18" s="224">
        <v>3193</v>
      </c>
      <c r="J18" s="224">
        <v>3088</v>
      </c>
      <c r="K18" s="224">
        <v>2983</v>
      </c>
      <c r="L18" s="224">
        <v>2877</v>
      </c>
      <c r="M18" s="224">
        <v>16140</v>
      </c>
      <c r="N18" s="225">
        <f t="shared" si="0"/>
        <v>48906</v>
      </c>
    </row>
    <row r="19" spans="1:14" ht="36.75" customHeight="1">
      <c r="A19" s="226" t="s">
        <v>333</v>
      </c>
      <c r="B19" s="222" t="s">
        <v>334</v>
      </c>
      <c r="C19" s="222" t="s">
        <v>335</v>
      </c>
      <c r="D19" s="223" t="s">
        <v>343</v>
      </c>
      <c r="E19" s="222" t="s">
        <v>336</v>
      </c>
      <c r="F19" s="224">
        <v>161421</v>
      </c>
      <c r="G19" s="224">
        <v>156263</v>
      </c>
      <c r="H19" s="224">
        <v>150758</v>
      </c>
      <c r="I19" s="224">
        <v>145253</v>
      </c>
      <c r="J19" s="224">
        <v>139748</v>
      </c>
      <c r="K19" s="224">
        <v>134243</v>
      </c>
      <c r="L19" s="224">
        <v>128738</v>
      </c>
      <c r="M19" s="224">
        <v>153479</v>
      </c>
      <c r="N19" s="225">
        <f t="shared" si="0"/>
        <v>1169903</v>
      </c>
    </row>
    <row r="20" spans="1:14" ht="26.25" customHeight="1">
      <c r="A20" s="226" t="s">
        <v>333</v>
      </c>
      <c r="B20" s="222" t="s">
        <v>430</v>
      </c>
      <c r="C20" s="222" t="s">
        <v>344</v>
      </c>
      <c r="D20" s="223" t="s">
        <v>345</v>
      </c>
      <c r="E20" s="222" t="s">
        <v>346</v>
      </c>
      <c r="F20" s="224">
        <f>258939</f>
        <v>258939</v>
      </c>
      <c r="G20" s="224">
        <v>250808</v>
      </c>
      <c r="H20" s="224">
        <v>346950</v>
      </c>
      <c r="I20" s="224">
        <v>541261</v>
      </c>
      <c r="J20" s="224">
        <v>531191</v>
      </c>
      <c r="K20" s="224">
        <v>521104</v>
      </c>
      <c r="L20" s="224">
        <v>510217</v>
      </c>
      <c r="M20" s="224">
        <v>0</v>
      </c>
      <c r="N20" s="225">
        <f t="shared" si="0"/>
        <v>2960470</v>
      </c>
    </row>
    <row r="21" spans="1:14" ht="29.25" customHeight="1">
      <c r="A21" s="226" t="s">
        <v>333</v>
      </c>
      <c r="B21" s="222" t="s">
        <v>367</v>
      </c>
      <c r="C21" s="222" t="s">
        <v>344</v>
      </c>
      <c r="D21" s="223" t="s">
        <v>347</v>
      </c>
      <c r="E21" s="222" t="s">
        <v>348</v>
      </c>
      <c r="F21" s="224">
        <f>645059</f>
        <v>645059</v>
      </c>
      <c r="G21" s="224">
        <v>222300</v>
      </c>
      <c r="H21" s="224"/>
      <c r="I21" s="224"/>
      <c r="J21" s="224"/>
      <c r="K21" s="224"/>
      <c r="L21" s="224"/>
      <c r="M21" s="224"/>
      <c r="N21" s="225">
        <f t="shared" si="0"/>
        <v>867359</v>
      </c>
    </row>
    <row r="22" spans="1:14" ht="27" customHeight="1">
      <c r="A22" s="226" t="s">
        <v>333</v>
      </c>
      <c r="B22" s="222" t="s">
        <v>334</v>
      </c>
      <c r="C22" s="222" t="s">
        <v>335</v>
      </c>
      <c r="D22" s="223" t="s">
        <v>349</v>
      </c>
      <c r="E22" s="222" t="s">
        <v>350</v>
      </c>
      <c r="F22" s="224">
        <v>167612</v>
      </c>
      <c r="G22" s="224">
        <v>163270</v>
      </c>
      <c r="H22" s="224">
        <v>158636</v>
      </c>
      <c r="I22" s="224">
        <v>154003</v>
      </c>
      <c r="J22" s="224">
        <v>149369</v>
      </c>
      <c r="K22" s="224">
        <v>144735</v>
      </c>
      <c r="L22" s="224">
        <v>140101</v>
      </c>
      <c r="M22" s="224">
        <v>979105</v>
      </c>
      <c r="N22" s="225">
        <f t="shared" si="0"/>
        <v>2056831</v>
      </c>
    </row>
    <row r="23" spans="1:14" ht="36" customHeight="1">
      <c r="A23" s="226" t="s">
        <v>333</v>
      </c>
      <c r="B23" s="222" t="s">
        <v>334</v>
      </c>
      <c r="C23" s="222" t="s">
        <v>335</v>
      </c>
      <c r="D23" s="223" t="s">
        <v>351</v>
      </c>
      <c r="E23" s="222" t="s">
        <v>352</v>
      </c>
      <c r="F23" s="224">
        <v>56661</v>
      </c>
      <c r="G23" s="224">
        <v>54895</v>
      </c>
      <c r="H23" s="224">
        <v>53130</v>
      </c>
      <c r="I23" s="224">
        <v>51364</v>
      </c>
      <c r="J23" s="224">
        <v>49599</v>
      </c>
      <c r="K23" s="224">
        <v>36077</v>
      </c>
      <c r="L23" s="224">
        <v>0</v>
      </c>
      <c r="M23" s="224">
        <v>0</v>
      </c>
      <c r="N23" s="225">
        <f t="shared" si="0"/>
        <v>301726</v>
      </c>
    </row>
    <row r="24" spans="1:14" ht="1.5" customHeight="1" hidden="1">
      <c r="A24" s="386"/>
      <c r="B24" s="228"/>
      <c r="C24" s="228"/>
      <c r="D24" s="387"/>
      <c r="E24" s="228"/>
      <c r="F24" s="388"/>
      <c r="G24" s="388"/>
      <c r="H24" s="388"/>
      <c r="I24" s="388"/>
      <c r="J24" s="388"/>
      <c r="K24" s="388"/>
      <c r="L24" s="388"/>
      <c r="M24" s="388"/>
      <c r="N24" s="229"/>
    </row>
    <row r="25" spans="1:14" ht="1.5" customHeight="1" hidden="1">
      <c r="A25" s="386"/>
      <c r="B25" s="228"/>
      <c r="C25" s="228"/>
      <c r="D25" s="387"/>
      <c r="E25" s="228"/>
      <c r="F25" s="388"/>
      <c r="G25" s="388"/>
      <c r="H25" s="388"/>
      <c r="I25" s="388"/>
      <c r="J25" s="388"/>
      <c r="K25" s="388"/>
      <c r="L25" s="388"/>
      <c r="M25" s="388"/>
      <c r="N25" s="229"/>
    </row>
    <row r="26" spans="1:14" ht="1.5" customHeight="1" hidden="1">
      <c r="A26" s="386"/>
      <c r="B26" s="228"/>
      <c r="C26" s="228"/>
      <c r="D26" s="387"/>
      <c r="E26" s="228"/>
      <c r="F26" s="388"/>
      <c r="G26" s="388"/>
      <c r="H26" s="388"/>
      <c r="I26" s="388"/>
      <c r="J26" s="388"/>
      <c r="K26" s="388"/>
      <c r="L26" s="388"/>
      <c r="M26" s="388"/>
      <c r="N26" s="229"/>
    </row>
    <row r="27" spans="1:14" ht="1.5" customHeight="1" hidden="1">
      <c r="A27" s="217"/>
      <c r="B27" s="217"/>
      <c r="C27" s="217"/>
      <c r="D27" s="217"/>
      <c r="E27" s="217"/>
      <c r="F27" s="510"/>
      <c r="G27" s="510"/>
      <c r="H27" s="510"/>
      <c r="I27" s="510"/>
      <c r="J27" s="510"/>
      <c r="K27" s="510"/>
      <c r="L27" s="510"/>
      <c r="M27" s="510"/>
      <c r="N27" s="510"/>
    </row>
    <row r="28" spans="1:14" ht="1.5" customHeight="1" hidden="1">
      <c r="A28" s="219" t="s">
        <v>321</v>
      </c>
      <c r="B28" s="219" t="s">
        <v>322</v>
      </c>
      <c r="C28" s="220" t="s">
        <v>323</v>
      </c>
      <c r="D28" s="219" t="s">
        <v>324</v>
      </c>
      <c r="E28" s="220" t="s">
        <v>325</v>
      </c>
      <c r="F28" s="219">
        <v>2011</v>
      </c>
      <c r="G28" s="219">
        <v>2012</v>
      </c>
      <c r="H28" s="219">
        <v>2013</v>
      </c>
      <c r="I28" s="219">
        <v>2014</v>
      </c>
      <c r="J28" s="219">
        <v>2015</v>
      </c>
      <c r="K28" s="219">
        <v>2016</v>
      </c>
      <c r="L28" s="219">
        <v>2017</v>
      </c>
      <c r="M28" s="220" t="s">
        <v>326</v>
      </c>
      <c r="N28" s="220" t="s">
        <v>327</v>
      </c>
    </row>
    <row r="29" spans="1:14" ht="1.5" customHeight="1" hidden="1">
      <c r="A29" s="219" t="s">
        <v>328</v>
      </c>
      <c r="B29" s="219" t="s">
        <v>329</v>
      </c>
      <c r="C29" s="219" t="s">
        <v>330</v>
      </c>
      <c r="D29" s="219" t="s">
        <v>331</v>
      </c>
      <c r="E29" s="219" t="s">
        <v>332</v>
      </c>
      <c r="F29" s="219">
        <v>1</v>
      </c>
      <c r="G29" s="219">
        <v>2</v>
      </c>
      <c r="H29" s="219">
        <v>3</v>
      </c>
      <c r="I29" s="219">
        <v>4</v>
      </c>
      <c r="J29" s="219">
        <v>5</v>
      </c>
      <c r="K29" s="219">
        <v>6</v>
      </c>
      <c r="L29" s="219">
        <v>7</v>
      </c>
      <c r="M29" s="219">
        <v>8</v>
      </c>
      <c r="N29" s="219">
        <v>9</v>
      </c>
    </row>
    <row r="30" spans="1:14" ht="34.5" customHeight="1">
      <c r="A30" s="226" t="s">
        <v>333</v>
      </c>
      <c r="B30" s="222" t="s">
        <v>334</v>
      </c>
      <c r="C30" s="222" t="s">
        <v>335</v>
      </c>
      <c r="D30" s="223" t="s">
        <v>353</v>
      </c>
      <c r="E30" s="222" t="s">
        <v>352</v>
      </c>
      <c r="F30" s="224">
        <v>22899</v>
      </c>
      <c r="G30" s="224">
        <v>22185</v>
      </c>
      <c r="H30" s="224">
        <v>21472</v>
      </c>
      <c r="I30" s="224">
        <v>20758</v>
      </c>
      <c r="J30" s="224">
        <v>20045</v>
      </c>
      <c r="K30" s="224">
        <v>14575</v>
      </c>
      <c r="L30" s="224">
        <v>0</v>
      </c>
      <c r="M30" s="224">
        <v>0</v>
      </c>
      <c r="N30" s="225">
        <f aca="true" t="shared" si="1" ref="N30:N45">SUM(F30:M30)</f>
        <v>121934</v>
      </c>
    </row>
    <row r="31" spans="1:14" ht="30.75" customHeight="1">
      <c r="A31" s="226" t="s">
        <v>333</v>
      </c>
      <c r="B31" s="222" t="s">
        <v>334</v>
      </c>
      <c r="C31" s="222" t="s">
        <v>335</v>
      </c>
      <c r="D31" s="223" t="s">
        <v>349</v>
      </c>
      <c r="E31" s="222" t="s">
        <v>354</v>
      </c>
      <c r="F31" s="224">
        <v>307259</v>
      </c>
      <c r="G31" s="224">
        <v>299398</v>
      </c>
      <c r="H31" s="224">
        <v>291009</v>
      </c>
      <c r="I31" s="224">
        <v>282619</v>
      </c>
      <c r="J31" s="224">
        <v>274230</v>
      </c>
      <c r="K31" s="224">
        <v>265841</v>
      </c>
      <c r="L31" s="224">
        <v>257451</v>
      </c>
      <c r="M31" s="224">
        <v>2113622</v>
      </c>
      <c r="N31" s="225">
        <f t="shared" si="1"/>
        <v>4091429</v>
      </c>
    </row>
    <row r="32" spans="1:14" ht="31.5" customHeight="1">
      <c r="A32" s="226" t="s">
        <v>333</v>
      </c>
      <c r="B32" s="222" t="s">
        <v>334</v>
      </c>
      <c r="C32" s="222" t="s">
        <v>335</v>
      </c>
      <c r="D32" s="223" t="s">
        <v>431</v>
      </c>
      <c r="E32" s="222" t="s">
        <v>355</v>
      </c>
      <c r="F32" s="224">
        <v>111093</v>
      </c>
      <c r="G32" s="224">
        <v>107903</v>
      </c>
      <c r="H32" s="224">
        <v>104497</v>
      </c>
      <c r="I32" s="224">
        <v>101092</v>
      </c>
      <c r="J32" s="224">
        <v>97687</v>
      </c>
      <c r="K32" s="224">
        <v>94282</v>
      </c>
      <c r="L32" s="224">
        <v>90877</v>
      </c>
      <c r="M32" s="224">
        <v>473945</v>
      </c>
      <c r="N32" s="225">
        <f t="shared" si="1"/>
        <v>1181376</v>
      </c>
    </row>
    <row r="33" spans="1:14" ht="31.5" customHeight="1">
      <c r="A33" s="226" t="s">
        <v>333</v>
      </c>
      <c r="B33" s="222" t="s">
        <v>334</v>
      </c>
      <c r="C33" s="222" t="s">
        <v>335</v>
      </c>
      <c r="D33" s="223" t="s">
        <v>432</v>
      </c>
      <c r="E33" s="222" t="s">
        <v>356</v>
      </c>
      <c r="F33" s="224">
        <v>618220</v>
      </c>
      <c r="G33" s="224">
        <v>603771</v>
      </c>
      <c r="H33" s="224">
        <v>588351</v>
      </c>
      <c r="I33" s="224">
        <v>572930</v>
      </c>
      <c r="J33" s="224">
        <v>557510</v>
      </c>
      <c r="K33" s="224">
        <v>542089</v>
      </c>
      <c r="L33" s="224">
        <v>526669</v>
      </c>
      <c r="M33" s="224">
        <v>5830021</v>
      </c>
      <c r="N33" s="225">
        <f t="shared" si="1"/>
        <v>9839561</v>
      </c>
    </row>
    <row r="34" spans="1:14" ht="39" customHeight="1">
      <c r="A34" s="226" t="s">
        <v>333</v>
      </c>
      <c r="B34" s="222" t="s">
        <v>334</v>
      </c>
      <c r="C34" s="222" t="s">
        <v>335</v>
      </c>
      <c r="D34" s="223" t="s">
        <v>429</v>
      </c>
      <c r="E34" s="222" t="s">
        <v>356</v>
      </c>
      <c r="F34" s="224">
        <v>150109</v>
      </c>
      <c r="G34" s="224">
        <v>144929</v>
      </c>
      <c r="H34" s="224">
        <v>139401</v>
      </c>
      <c r="I34" s="224">
        <v>133873</v>
      </c>
      <c r="J34" s="224">
        <v>128345</v>
      </c>
      <c r="K34" s="224">
        <v>122817</v>
      </c>
      <c r="L34" s="224">
        <v>117289</v>
      </c>
      <c r="M34" s="224">
        <v>139017</v>
      </c>
      <c r="N34" s="225">
        <f t="shared" si="1"/>
        <v>1075780</v>
      </c>
    </row>
    <row r="35" spans="1:14" ht="30" customHeight="1">
      <c r="A35" s="226" t="s">
        <v>333</v>
      </c>
      <c r="B35" s="222" t="s">
        <v>334</v>
      </c>
      <c r="C35" s="230" t="s">
        <v>335</v>
      </c>
      <c r="D35" s="223" t="s">
        <v>357</v>
      </c>
      <c r="E35" s="222" t="s">
        <v>358</v>
      </c>
      <c r="F35" s="224">
        <v>148669</v>
      </c>
      <c r="G35" s="224">
        <v>145259</v>
      </c>
      <c r="H35" s="224">
        <v>141619</v>
      </c>
      <c r="I35" s="224">
        <v>137978</v>
      </c>
      <c r="J35" s="224">
        <v>134338</v>
      </c>
      <c r="K35" s="224">
        <v>130698</v>
      </c>
      <c r="L35" s="224">
        <v>127058</v>
      </c>
      <c r="M35" s="224">
        <v>1469271</v>
      </c>
      <c r="N35" s="225">
        <f t="shared" si="1"/>
        <v>2434890</v>
      </c>
    </row>
    <row r="36" spans="1:14" ht="36" customHeight="1">
      <c r="A36" s="226" t="s">
        <v>333</v>
      </c>
      <c r="B36" s="222" t="s">
        <v>334</v>
      </c>
      <c r="C36" s="222" t="s">
        <v>335</v>
      </c>
      <c r="D36" s="231" t="s">
        <v>359</v>
      </c>
      <c r="E36" s="222" t="s">
        <v>358</v>
      </c>
      <c r="F36" s="224">
        <v>155124</v>
      </c>
      <c r="G36" s="224">
        <v>151565</v>
      </c>
      <c r="H36" s="224">
        <v>147767</v>
      </c>
      <c r="I36" s="224">
        <v>143969</v>
      </c>
      <c r="J36" s="224">
        <v>140170</v>
      </c>
      <c r="K36" s="224">
        <v>136372</v>
      </c>
      <c r="L36" s="224">
        <v>132574</v>
      </c>
      <c r="M36" s="224">
        <v>1533031</v>
      </c>
      <c r="N36" s="225">
        <f t="shared" si="1"/>
        <v>2540572</v>
      </c>
    </row>
    <row r="37" spans="1:14" ht="66.75" customHeight="1">
      <c r="A37" s="226" t="s">
        <v>333</v>
      </c>
      <c r="B37" s="222" t="s">
        <v>334</v>
      </c>
      <c r="C37" s="222" t="s">
        <v>335</v>
      </c>
      <c r="D37" s="223" t="s">
        <v>360</v>
      </c>
      <c r="E37" s="222" t="s">
        <v>338</v>
      </c>
      <c r="F37" s="224">
        <v>119717</v>
      </c>
      <c r="G37" s="224">
        <v>115858</v>
      </c>
      <c r="H37" s="224">
        <v>111741</v>
      </c>
      <c r="I37" s="224">
        <v>107623</v>
      </c>
      <c r="J37" s="224">
        <v>103505</v>
      </c>
      <c r="K37" s="224">
        <v>99387</v>
      </c>
      <c r="L37" s="224">
        <v>95269</v>
      </c>
      <c r="M37" s="224">
        <v>91408</v>
      </c>
      <c r="N37" s="225">
        <f t="shared" si="1"/>
        <v>844508</v>
      </c>
    </row>
    <row r="38" spans="1:14" ht="35.25" customHeight="1">
      <c r="A38" s="226" t="s">
        <v>333</v>
      </c>
      <c r="B38" s="222" t="s">
        <v>334</v>
      </c>
      <c r="C38" s="222" t="s">
        <v>335</v>
      </c>
      <c r="D38" s="231" t="s">
        <v>433</v>
      </c>
      <c r="E38" s="222" t="s">
        <v>361</v>
      </c>
      <c r="F38" s="224">
        <v>5737</v>
      </c>
      <c r="G38" s="224">
        <v>14799</v>
      </c>
      <c r="H38" s="224">
        <v>14368</v>
      </c>
      <c r="I38" s="224">
        <v>13909</v>
      </c>
      <c r="J38" s="224">
        <v>13450</v>
      </c>
      <c r="K38" s="224">
        <v>12991</v>
      </c>
      <c r="L38" s="224">
        <v>12532</v>
      </c>
      <c r="M38" s="224">
        <v>70267</v>
      </c>
      <c r="N38" s="225">
        <f t="shared" si="1"/>
        <v>158053</v>
      </c>
    </row>
    <row r="39" spans="1:14" ht="38.25" customHeight="1">
      <c r="A39" s="226" t="s">
        <v>333</v>
      </c>
      <c r="B39" s="222" t="s">
        <v>334</v>
      </c>
      <c r="C39" s="222" t="s">
        <v>335</v>
      </c>
      <c r="D39" s="223" t="s">
        <v>547</v>
      </c>
      <c r="E39" s="222" t="s">
        <v>362</v>
      </c>
      <c r="F39" s="224">
        <v>29112</v>
      </c>
      <c r="G39" s="224">
        <v>16604</v>
      </c>
      <c r="H39" s="224">
        <v>16034</v>
      </c>
      <c r="I39" s="224">
        <v>15464</v>
      </c>
      <c r="J39" s="224">
        <v>14894</v>
      </c>
      <c r="K39" s="224">
        <v>14325</v>
      </c>
      <c r="L39" s="224">
        <v>13755</v>
      </c>
      <c r="M39" s="224">
        <v>25839</v>
      </c>
      <c r="N39" s="225">
        <f t="shared" si="1"/>
        <v>146027</v>
      </c>
    </row>
    <row r="40" spans="1:14" ht="57.75" customHeight="1">
      <c r="A40" s="226" t="s">
        <v>333</v>
      </c>
      <c r="B40" s="222" t="s">
        <v>334</v>
      </c>
      <c r="C40" s="222" t="s">
        <v>335</v>
      </c>
      <c r="D40" s="227" t="s">
        <v>363</v>
      </c>
      <c r="E40" s="222" t="s">
        <v>342</v>
      </c>
      <c r="F40" s="224">
        <f>689025-655134</f>
        <v>33891</v>
      </c>
      <c r="G40" s="224">
        <v>87406</v>
      </c>
      <c r="H40" s="224">
        <v>84866</v>
      </c>
      <c r="I40" s="224">
        <v>82154</v>
      </c>
      <c r="J40" s="224">
        <v>79443</v>
      </c>
      <c r="K40" s="224">
        <v>76731</v>
      </c>
      <c r="L40" s="224">
        <v>74020</v>
      </c>
      <c r="M40" s="224">
        <v>415173</v>
      </c>
      <c r="N40" s="225">
        <f t="shared" si="1"/>
        <v>933684</v>
      </c>
    </row>
    <row r="41" spans="1:14" ht="33.75" customHeight="1">
      <c r="A41" s="226" t="s">
        <v>333</v>
      </c>
      <c r="B41" s="222" t="s">
        <v>334</v>
      </c>
      <c r="C41" s="222" t="s">
        <v>335</v>
      </c>
      <c r="D41" s="227" t="s">
        <v>434</v>
      </c>
      <c r="E41" s="222" t="s">
        <v>435</v>
      </c>
      <c r="F41" s="224">
        <v>17973</v>
      </c>
      <c r="G41" s="224">
        <v>41829</v>
      </c>
      <c r="H41" s="224">
        <v>40834</v>
      </c>
      <c r="I41" s="224">
        <v>39773</v>
      </c>
      <c r="J41" s="224">
        <v>38712</v>
      </c>
      <c r="K41" s="224">
        <v>37651</v>
      </c>
      <c r="L41" s="224">
        <v>36590</v>
      </c>
      <c r="M41" s="224">
        <v>367902</v>
      </c>
      <c r="N41" s="225">
        <f t="shared" si="1"/>
        <v>621264</v>
      </c>
    </row>
    <row r="42" spans="1:14" ht="44.25" customHeight="1">
      <c r="A42" s="226" t="s">
        <v>333</v>
      </c>
      <c r="B42" s="222" t="s">
        <v>334</v>
      </c>
      <c r="C42" s="222" t="s">
        <v>335</v>
      </c>
      <c r="D42" s="227" t="s">
        <v>548</v>
      </c>
      <c r="E42" s="222" t="s">
        <v>436</v>
      </c>
      <c r="F42" s="224">
        <v>4292</v>
      </c>
      <c r="G42" s="224">
        <v>11397</v>
      </c>
      <c r="H42" s="224">
        <v>11182</v>
      </c>
      <c r="I42" s="224">
        <v>10953</v>
      </c>
      <c r="J42" s="224">
        <v>10724</v>
      </c>
      <c r="K42" s="224">
        <v>10495</v>
      </c>
      <c r="L42" s="224">
        <v>10266</v>
      </c>
      <c r="M42" s="224">
        <v>110759</v>
      </c>
      <c r="N42" s="225">
        <f t="shared" si="1"/>
        <v>180068</v>
      </c>
    </row>
    <row r="43" spans="1:14" ht="39.75" customHeight="1">
      <c r="A43" s="226" t="s">
        <v>333</v>
      </c>
      <c r="B43" s="222" t="s">
        <v>334</v>
      </c>
      <c r="C43" s="222" t="s">
        <v>335</v>
      </c>
      <c r="D43" s="227" t="s">
        <v>437</v>
      </c>
      <c r="E43" s="222" t="s">
        <v>438</v>
      </c>
      <c r="F43" s="224">
        <v>85402</v>
      </c>
      <c r="G43" s="224">
        <v>259481</v>
      </c>
      <c r="H43" s="224">
        <v>254596</v>
      </c>
      <c r="I43" s="224">
        <v>249383</v>
      </c>
      <c r="J43" s="224">
        <v>244170</v>
      </c>
      <c r="K43" s="224">
        <v>238956</v>
      </c>
      <c r="L43" s="224">
        <v>233743</v>
      </c>
      <c r="M43" s="224">
        <v>2523532</v>
      </c>
      <c r="N43" s="225">
        <f t="shared" si="1"/>
        <v>4089263</v>
      </c>
    </row>
    <row r="44" spans="1:14" ht="60.75" customHeight="1">
      <c r="A44" s="226" t="s">
        <v>333</v>
      </c>
      <c r="B44" s="222" t="s">
        <v>334</v>
      </c>
      <c r="C44" s="222" t="s">
        <v>335</v>
      </c>
      <c r="D44" s="227" t="s">
        <v>363</v>
      </c>
      <c r="E44" s="222" t="s">
        <v>438</v>
      </c>
      <c r="F44" s="224">
        <v>2054</v>
      </c>
      <c r="G44" s="224">
        <v>6774</v>
      </c>
      <c r="H44" s="224">
        <v>6631</v>
      </c>
      <c r="I44" s="224">
        <v>6479</v>
      </c>
      <c r="J44" s="224">
        <v>6327</v>
      </c>
      <c r="K44" s="224">
        <v>6175</v>
      </c>
      <c r="L44" s="224">
        <v>6023</v>
      </c>
      <c r="M44" s="224">
        <v>40351</v>
      </c>
      <c r="N44" s="225">
        <f t="shared" si="1"/>
        <v>80814</v>
      </c>
    </row>
    <row r="45" spans="1:14" ht="36" customHeight="1">
      <c r="A45" s="226" t="s">
        <v>333</v>
      </c>
      <c r="B45" s="222" t="s">
        <v>334</v>
      </c>
      <c r="C45" s="222" t="s">
        <v>335</v>
      </c>
      <c r="D45" s="227" t="s">
        <v>439</v>
      </c>
      <c r="E45" s="222" t="s">
        <v>440</v>
      </c>
      <c r="F45" s="224">
        <v>6639</v>
      </c>
      <c r="G45" s="224">
        <v>8616</v>
      </c>
      <c r="H45" s="224">
        <v>8415</v>
      </c>
      <c r="I45" s="224">
        <v>8199</v>
      </c>
      <c r="J45" s="224">
        <v>7984</v>
      </c>
      <c r="K45" s="224">
        <v>7769</v>
      </c>
      <c r="L45" s="224">
        <v>7553</v>
      </c>
      <c r="M45" s="224">
        <v>21337</v>
      </c>
      <c r="N45" s="225">
        <f t="shared" si="1"/>
        <v>76512</v>
      </c>
    </row>
    <row r="46" spans="1:14" ht="31.5" customHeight="1">
      <c r="A46" s="226" t="s">
        <v>333</v>
      </c>
      <c r="B46" s="222" t="s">
        <v>334</v>
      </c>
      <c r="C46" s="222" t="s">
        <v>335</v>
      </c>
      <c r="D46" s="227" t="s">
        <v>441</v>
      </c>
      <c r="E46" s="222" t="s">
        <v>442</v>
      </c>
      <c r="F46" s="224">
        <v>2204</v>
      </c>
      <c r="G46" s="224">
        <v>8763</v>
      </c>
      <c r="H46" s="224">
        <v>7143</v>
      </c>
      <c r="I46" s="224">
        <v>6961</v>
      </c>
      <c r="J46" s="224">
        <v>6778</v>
      </c>
      <c r="K46" s="224">
        <v>6595</v>
      </c>
      <c r="L46" s="224">
        <v>6412</v>
      </c>
      <c r="M46" s="224">
        <v>18118</v>
      </c>
      <c r="N46" s="225">
        <f aca="true" t="shared" si="2" ref="N46:N51">SUM(F46:M46)</f>
        <v>62974</v>
      </c>
    </row>
    <row r="47" spans="1:14" ht="27.75" customHeight="1">
      <c r="A47" s="226" t="s">
        <v>333</v>
      </c>
      <c r="B47" s="222" t="s">
        <v>334</v>
      </c>
      <c r="C47" s="222" t="s">
        <v>335</v>
      </c>
      <c r="D47" s="223" t="s">
        <v>549</v>
      </c>
      <c r="E47" s="222" t="s">
        <v>550</v>
      </c>
      <c r="F47" s="224">
        <v>3815</v>
      </c>
      <c r="G47" s="224">
        <v>10023</v>
      </c>
      <c r="H47" s="224">
        <v>10777</v>
      </c>
      <c r="I47" s="224">
        <v>42858</v>
      </c>
      <c r="J47" s="224">
        <v>42270</v>
      </c>
      <c r="K47" s="224">
        <v>41641</v>
      </c>
      <c r="L47" s="224">
        <v>41013</v>
      </c>
      <c r="M47" s="224">
        <v>484083</v>
      </c>
      <c r="N47" s="225">
        <f t="shared" si="2"/>
        <v>676480</v>
      </c>
    </row>
    <row r="48" spans="1:14" s="389" customFormat="1" ht="42.75" customHeight="1">
      <c r="A48" s="226" t="s">
        <v>333</v>
      </c>
      <c r="B48" s="222" t="s">
        <v>334</v>
      </c>
      <c r="C48" s="222" t="s">
        <v>335</v>
      </c>
      <c r="D48" s="223" t="s">
        <v>551</v>
      </c>
      <c r="E48" s="222" t="s">
        <v>552</v>
      </c>
      <c r="F48" s="224">
        <v>1874</v>
      </c>
      <c r="G48" s="224">
        <v>5385</v>
      </c>
      <c r="H48" s="224">
        <v>5385</v>
      </c>
      <c r="I48" s="224">
        <v>19835</v>
      </c>
      <c r="J48" s="224">
        <v>19546</v>
      </c>
      <c r="K48" s="224">
        <v>19239</v>
      </c>
      <c r="L48" s="224">
        <v>18931</v>
      </c>
      <c r="M48" s="224">
        <v>225434</v>
      </c>
      <c r="N48" s="225">
        <f t="shared" si="2"/>
        <v>315629</v>
      </c>
    </row>
    <row r="49" spans="1:14" s="389" customFormat="1" ht="56.25" customHeight="1">
      <c r="A49" s="226" t="s">
        <v>333</v>
      </c>
      <c r="B49" s="222" t="s">
        <v>334</v>
      </c>
      <c r="C49" s="222" t="s">
        <v>335</v>
      </c>
      <c r="D49" s="223" t="s">
        <v>586</v>
      </c>
      <c r="E49" s="222" t="s">
        <v>597</v>
      </c>
      <c r="F49" s="224">
        <v>4129</v>
      </c>
      <c r="G49" s="224">
        <v>32863</v>
      </c>
      <c r="H49" s="224">
        <v>35745</v>
      </c>
      <c r="I49" s="224">
        <v>127198</v>
      </c>
      <c r="J49" s="224">
        <v>125311</v>
      </c>
      <c r="K49" s="224">
        <v>123297</v>
      </c>
      <c r="L49" s="224">
        <v>121283</v>
      </c>
      <c r="M49" s="224">
        <v>1463393</v>
      </c>
      <c r="N49" s="225">
        <f>SUM(F49:M49)</f>
        <v>2033219</v>
      </c>
    </row>
    <row r="50" spans="1:14" s="389" customFormat="1" ht="27.75" customHeight="1">
      <c r="A50" s="226" t="s">
        <v>333</v>
      </c>
      <c r="B50" s="222" t="s">
        <v>334</v>
      </c>
      <c r="C50" s="222" t="s">
        <v>335</v>
      </c>
      <c r="D50" s="223" t="s">
        <v>587</v>
      </c>
      <c r="E50" s="222" t="s">
        <v>598</v>
      </c>
      <c r="F50" s="224">
        <v>284</v>
      </c>
      <c r="G50" s="224">
        <v>6905</v>
      </c>
      <c r="H50" s="224">
        <v>6905</v>
      </c>
      <c r="I50" s="224">
        <v>24276</v>
      </c>
      <c r="J50" s="224">
        <v>23912</v>
      </c>
      <c r="K50" s="224">
        <v>23522</v>
      </c>
      <c r="L50" s="224">
        <v>23133</v>
      </c>
      <c r="M50" s="224">
        <v>278585</v>
      </c>
      <c r="N50" s="225">
        <f>SUM(F50:M50)</f>
        <v>387522</v>
      </c>
    </row>
    <row r="51" spans="1:14" ht="27.75" customHeight="1">
      <c r="A51" s="226" t="s">
        <v>333</v>
      </c>
      <c r="B51" s="222" t="s">
        <v>430</v>
      </c>
      <c r="C51" s="222" t="s">
        <v>344</v>
      </c>
      <c r="D51" s="223" t="s">
        <v>382</v>
      </c>
      <c r="E51" s="222" t="s">
        <v>383</v>
      </c>
      <c r="F51" s="224">
        <v>33747</v>
      </c>
      <c r="G51" s="224">
        <v>16635</v>
      </c>
      <c r="H51" s="224"/>
      <c r="I51" s="224"/>
      <c r="J51" s="224"/>
      <c r="K51" s="224"/>
      <c r="L51" s="224"/>
      <c r="M51" s="224"/>
      <c r="N51" s="225">
        <f t="shared" si="2"/>
        <v>50382</v>
      </c>
    </row>
    <row r="52" spans="1:14" ht="12.75">
      <c r="A52" s="219"/>
      <c r="B52" s="218" t="s">
        <v>364</v>
      </c>
      <c r="C52" s="219" t="s">
        <v>365</v>
      </c>
      <c r="D52" s="219" t="s">
        <v>365</v>
      </c>
      <c r="E52" s="219" t="s">
        <v>365</v>
      </c>
      <c r="F52" s="232">
        <f aca="true" t="shared" si="3" ref="F52:M52">SUM(F15+F16+F17+F18+F19+F20+F21+F22+F23+F30+F31+F32+F33+F34+F35+F36+F37+F38+F39+F40+F41+F42+F43+F44+F45+F46+F47+F48+F49+F50+F51)</f>
        <v>3406641</v>
      </c>
      <c r="G52" s="232">
        <f t="shared" si="3"/>
        <v>3207169</v>
      </c>
      <c r="H52" s="232">
        <f t="shared" si="3"/>
        <v>2989336</v>
      </c>
      <c r="I52" s="232">
        <f t="shared" si="3"/>
        <v>3263603</v>
      </c>
      <c r="J52" s="232">
        <f t="shared" si="3"/>
        <v>3175014</v>
      </c>
      <c r="K52" s="232">
        <f t="shared" si="3"/>
        <v>3069680</v>
      </c>
      <c r="L52" s="232">
        <f t="shared" si="3"/>
        <v>2931886</v>
      </c>
      <c r="M52" s="232">
        <f t="shared" si="3"/>
        <v>19729704</v>
      </c>
      <c r="N52" s="225">
        <f>SUM(F52:M52)</f>
        <v>41773033</v>
      </c>
    </row>
    <row r="53" spans="1:14" ht="12.75">
      <c r="A53" s="228"/>
      <c r="B53" s="233"/>
      <c r="C53" s="228"/>
      <c r="D53" s="228"/>
      <c r="E53" s="228"/>
      <c r="F53" s="229"/>
      <c r="G53" s="229"/>
      <c r="H53" s="229"/>
      <c r="I53" s="229"/>
      <c r="J53" s="229"/>
      <c r="K53" s="229"/>
      <c r="L53" s="229"/>
      <c r="M53" s="229"/>
      <c r="N53" s="234"/>
    </row>
    <row r="54" spans="1:14" ht="12.75">
      <c r="A54" s="228"/>
      <c r="B54" s="233"/>
      <c r="C54" s="228"/>
      <c r="D54" s="228"/>
      <c r="E54" s="228"/>
      <c r="F54" s="229"/>
      <c r="G54" s="229"/>
      <c r="H54" s="229"/>
      <c r="I54" s="229"/>
      <c r="J54" s="229"/>
      <c r="K54" s="229"/>
      <c r="L54" s="229"/>
      <c r="M54" s="229"/>
      <c r="N54" s="234"/>
    </row>
    <row r="55" spans="1:14" ht="12.75">
      <c r="A55" s="235" t="s">
        <v>366</v>
      </c>
      <c r="B55" s="23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29"/>
    </row>
    <row r="56" spans="1:14" ht="45">
      <c r="A56" s="220" t="s">
        <v>596</v>
      </c>
      <c r="B56" s="220" t="s">
        <v>322</v>
      </c>
      <c r="C56" s="220" t="s">
        <v>323</v>
      </c>
      <c r="D56" s="220" t="s">
        <v>324</v>
      </c>
      <c r="E56" s="220" t="s">
        <v>325</v>
      </c>
      <c r="F56" s="220">
        <v>2011</v>
      </c>
      <c r="G56" s="220">
        <v>2012</v>
      </c>
      <c r="H56" s="220">
        <v>2013</v>
      </c>
      <c r="I56" s="220">
        <v>2014</v>
      </c>
      <c r="J56" s="220">
        <v>2015</v>
      </c>
      <c r="K56" s="220">
        <v>2016</v>
      </c>
      <c r="L56" s="220">
        <v>2017</v>
      </c>
      <c r="M56" s="220" t="s">
        <v>326</v>
      </c>
      <c r="N56" s="220" t="s">
        <v>327</v>
      </c>
    </row>
    <row r="57" spans="1:14" ht="15" customHeight="1">
      <c r="A57" s="219" t="s">
        <v>328</v>
      </c>
      <c r="B57" s="219" t="s">
        <v>329</v>
      </c>
      <c r="C57" s="219" t="s">
        <v>330</v>
      </c>
      <c r="D57" s="219" t="s">
        <v>331</v>
      </c>
      <c r="E57" s="219" t="s">
        <v>332</v>
      </c>
      <c r="F57" s="219">
        <v>1</v>
      </c>
      <c r="G57" s="219">
        <v>2</v>
      </c>
      <c r="H57" s="219">
        <v>3</v>
      </c>
      <c r="I57" s="219">
        <v>4</v>
      </c>
      <c r="J57" s="219">
        <v>5</v>
      </c>
      <c r="K57" s="219">
        <v>6</v>
      </c>
      <c r="L57" s="219">
        <v>7</v>
      </c>
      <c r="M57" s="219">
        <v>8</v>
      </c>
      <c r="N57" s="219">
        <v>9</v>
      </c>
    </row>
    <row r="58" spans="1:14" ht="27" customHeight="1">
      <c r="A58" s="219" t="s">
        <v>599</v>
      </c>
      <c r="B58" s="219" t="s">
        <v>367</v>
      </c>
      <c r="C58" s="219" t="s">
        <v>368</v>
      </c>
      <c r="D58" s="230" t="s">
        <v>369</v>
      </c>
      <c r="E58" s="219" t="s">
        <v>370</v>
      </c>
      <c r="F58" s="224">
        <v>217409</v>
      </c>
      <c r="G58" s="224">
        <v>354078</v>
      </c>
      <c r="H58" s="224">
        <v>347391</v>
      </c>
      <c r="I58" s="224"/>
      <c r="J58" s="224"/>
      <c r="K58" s="224"/>
      <c r="L58" s="224"/>
      <c r="M58" s="224"/>
      <c r="N58" s="225">
        <f aca="true" t="shared" si="4" ref="N58:N65">SUM(F58:M58)</f>
        <v>918878</v>
      </c>
    </row>
    <row r="59" spans="1:14" ht="12.75">
      <c r="A59" s="219" t="s">
        <v>599</v>
      </c>
      <c r="B59" s="219" t="s">
        <v>367</v>
      </c>
      <c r="C59" s="219" t="s">
        <v>344</v>
      </c>
      <c r="D59" s="222" t="s">
        <v>443</v>
      </c>
      <c r="E59" s="222" t="s">
        <v>371</v>
      </c>
      <c r="F59" s="224">
        <v>402</v>
      </c>
      <c r="G59" s="224">
        <v>388</v>
      </c>
      <c r="H59" s="224">
        <v>374</v>
      </c>
      <c r="I59" s="224">
        <v>360</v>
      </c>
      <c r="J59" s="224">
        <v>347</v>
      </c>
      <c r="K59" s="224">
        <v>334</v>
      </c>
      <c r="L59" s="224">
        <v>320</v>
      </c>
      <c r="M59" s="224">
        <v>876</v>
      </c>
      <c r="N59" s="225">
        <f t="shared" si="4"/>
        <v>3401</v>
      </c>
    </row>
    <row r="60" spans="1:14" ht="12.75">
      <c r="A60" s="219" t="s">
        <v>599</v>
      </c>
      <c r="B60" s="219" t="s">
        <v>430</v>
      </c>
      <c r="C60" s="219" t="s">
        <v>344</v>
      </c>
      <c r="D60" s="222" t="s">
        <v>443</v>
      </c>
      <c r="E60" s="222" t="s">
        <v>372</v>
      </c>
      <c r="F60" s="224">
        <v>160</v>
      </c>
      <c r="G60" s="224">
        <v>154</v>
      </c>
      <c r="H60" s="224">
        <v>148</v>
      </c>
      <c r="I60" s="224">
        <v>142</v>
      </c>
      <c r="J60" s="224">
        <v>136</v>
      </c>
      <c r="K60" s="224">
        <v>130</v>
      </c>
      <c r="L60" s="224">
        <v>124</v>
      </c>
      <c r="M60" s="224">
        <v>0</v>
      </c>
      <c r="N60" s="225">
        <f t="shared" si="4"/>
        <v>994</v>
      </c>
    </row>
    <row r="61" spans="1:14" ht="33" customHeight="1">
      <c r="A61" s="219" t="s">
        <v>599</v>
      </c>
      <c r="B61" s="219" t="s">
        <v>334</v>
      </c>
      <c r="C61" s="219" t="s">
        <v>335</v>
      </c>
      <c r="D61" s="223" t="s">
        <v>444</v>
      </c>
      <c r="E61" s="222" t="s">
        <v>373</v>
      </c>
      <c r="F61" s="224">
        <v>78044</v>
      </c>
      <c r="G61" s="224">
        <v>75742</v>
      </c>
      <c r="H61" s="224">
        <v>73441</v>
      </c>
      <c r="I61" s="224">
        <v>71140</v>
      </c>
      <c r="J61" s="224">
        <v>68838</v>
      </c>
      <c r="K61" s="224">
        <v>66537</v>
      </c>
      <c r="L61" s="224">
        <v>64235</v>
      </c>
      <c r="M61" s="224">
        <v>431034</v>
      </c>
      <c r="N61" s="225">
        <f t="shared" si="4"/>
        <v>929011</v>
      </c>
    </row>
    <row r="62" spans="1:14" ht="24" customHeight="1">
      <c r="A62" s="219" t="s">
        <v>599</v>
      </c>
      <c r="B62" s="402" t="s">
        <v>374</v>
      </c>
      <c r="C62" s="219" t="s">
        <v>600</v>
      </c>
      <c r="D62" s="230" t="s">
        <v>445</v>
      </c>
      <c r="E62" s="222" t="s">
        <v>375</v>
      </c>
      <c r="F62" s="224">
        <v>66789</v>
      </c>
      <c r="G62" s="224"/>
      <c r="H62" s="224"/>
      <c r="I62" s="224"/>
      <c r="J62" s="224"/>
      <c r="K62" s="224"/>
      <c r="L62" s="224"/>
      <c r="M62" s="224"/>
      <c r="N62" s="237">
        <f t="shared" si="4"/>
        <v>66789</v>
      </c>
    </row>
    <row r="63" spans="1:14" ht="27" customHeight="1">
      <c r="A63" s="219" t="s">
        <v>599</v>
      </c>
      <c r="B63" s="402" t="s">
        <v>376</v>
      </c>
      <c r="C63" s="219" t="s">
        <v>600</v>
      </c>
      <c r="D63" s="230" t="s">
        <v>445</v>
      </c>
      <c r="E63" s="222" t="s">
        <v>377</v>
      </c>
      <c r="F63" s="224">
        <v>290474</v>
      </c>
      <c r="G63" s="224">
        <v>282503</v>
      </c>
      <c r="H63" s="224">
        <v>274532</v>
      </c>
      <c r="I63" s="224">
        <v>266562</v>
      </c>
      <c r="J63" s="224">
        <v>258591</v>
      </c>
      <c r="K63" s="224">
        <v>329482</v>
      </c>
      <c r="L63" s="224">
        <v>315367</v>
      </c>
      <c r="M63" s="224">
        <v>1865998</v>
      </c>
      <c r="N63" s="225">
        <f t="shared" si="4"/>
        <v>3883509</v>
      </c>
    </row>
    <row r="64" spans="1:14" ht="26.25" customHeight="1">
      <c r="A64" s="219" t="s">
        <v>599</v>
      </c>
      <c r="B64" s="219" t="s">
        <v>430</v>
      </c>
      <c r="C64" s="219" t="s">
        <v>344</v>
      </c>
      <c r="D64" s="230" t="s">
        <v>378</v>
      </c>
      <c r="E64" s="222" t="s">
        <v>379</v>
      </c>
      <c r="F64" s="224">
        <v>95241</v>
      </c>
      <c r="G64" s="224">
        <v>46756</v>
      </c>
      <c r="H64" s="224"/>
      <c r="I64" s="224"/>
      <c r="J64" s="224"/>
      <c r="K64" s="224"/>
      <c r="L64" s="224"/>
      <c r="M64" s="224"/>
      <c r="N64" s="225">
        <f t="shared" si="4"/>
        <v>141997</v>
      </c>
    </row>
    <row r="65" spans="1:14" ht="12.75">
      <c r="A65" s="219" t="s">
        <v>599</v>
      </c>
      <c r="B65" s="219" t="s">
        <v>430</v>
      </c>
      <c r="C65" s="219" t="s">
        <v>344</v>
      </c>
      <c r="D65" s="222" t="s">
        <v>380</v>
      </c>
      <c r="E65" s="219" t="s">
        <v>381</v>
      </c>
      <c r="F65" s="238">
        <v>387</v>
      </c>
      <c r="G65" s="238">
        <v>378</v>
      </c>
      <c r="H65" s="238">
        <v>364</v>
      </c>
      <c r="I65" s="238">
        <v>351</v>
      </c>
      <c r="J65" s="238">
        <v>338</v>
      </c>
      <c r="K65" s="238">
        <v>324</v>
      </c>
      <c r="L65" s="238">
        <v>310</v>
      </c>
      <c r="M65" s="238">
        <v>847</v>
      </c>
      <c r="N65" s="239">
        <f t="shared" si="4"/>
        <v>3299</v>
      </c>
    </row>
    <row r="66" spans="1:14" ht="12.75">
      <c r="A66" s="219"/>
      <c r="B66" s="240" t="s">
        <v>384</v>
      </c>
      <c r="C66" s="219" t="s">
        <v>365</v>
      </c>
      <c r="D66" s="219" t="s">
        <v>365</v>
      </c>
      <c r="E66" s="219" t="s">
        <v>365</v>
      </c>
      <c r="F66" s="241">
        <f>SUM(F58:F65)</f>
        <v>748906</v>
      </c>
      <c r="G66" s="241">
        <f aca="true" t="shared" si="5" ref="G66:M66">SUM(G58:G65)</f>
        <v>759999</v>
      </c>
      <c r="H66" s="241">
        <f>SUM(H58:H65)</f>
        <v>696250</v>
      </c>
      <c r="I66" s="241">
        <f>SUM(I58:I65)</f>
        <v>338555</v>
      </c>
      <c r="J66" s="241">
        <f t="shared" si="5"/>
        <v>328250</v>
      </c>
      <c r="K66" s="241">
        <f t="shared" si="5"/>
        <v>396807</v>
      </c>
      <c r="L66" s="241">
        <f t="shared" si="5"/>
        <v>380356</v>
      </c>
      <c r="M66" s="241">
        <f t="shared" si="5"/>
        <v>2298755</v>
      </c>
      <c r="N66" s="225">
        <f>SUM(F66:M66)</f>
        <v>5947878</v>
      </c>
    </row>
    <row r="67" spans="1:14" ht="12.7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29"/>
    </row>
    <row r="68" spans="1:14" ht="12.75">
      <c r="A68" s="242"/>
      <c r="B68" s="240" t="s">
        <v>385</v>
      </c>
      <c r="C68" s="219" t="s">
        <v>365</v>
      </c>
      <c r="D68" s="219" t="s">
        <v>365</v>
      </c>
      <c r="E68" s="219" t="s">
        <v>365</v>
      </c>
      <c r="F68" s="225">
        <f>424839+60251</f>
        <v>485090</v>
      </c>
      <c r="G68" s="232">
        <f>425808+324+29241</f>
        <v>455373</v>
      </c>
      <c r="H68" s="232">
        <f>356329+145+10310</f>
        <v>366784</v>
      </c>
      <c r="I68" s="232">
        <f>100818+14</f>
        <v>100832</v>
      </c>
      <c r="J68" s="232">
        <v>0</v>
      </c>
      <c r="K68" s="232">
        <v>0</v>
      </c>
      <c r="L68" s="232">
        <v>0</v>
      </c>
      <c r="M68" s="232">
        <v>0</v>
      </c>
      <c r="N68" s="225">
        <f>SUM(F68:M68)</f>
        <v>1408079</v>
      </c>
    </row>
    <row r="69" spans="1:14" ht="12.75">
      <c r="A69" s="242"/>
      <c r="B69" s="511" t="s">
        <v>386</v>
      </c>
      <c r="C69" s="511"/>
      <c r="D69" s="511"/>
      <c r="E69" s="511"/>
      <c r="F69" s="232">
        <f aca="true" t="shared" si="6" ref="F69:K69">SUM(F68+F66+F52)</f>
        <v>4640637</v>
      </c>
      <c r="G69" s="232">
        <f t="shared" si="6"/>
        <v>4422541</v>
      </c>
      <c r="H69" s="232">
        <f t="shared" si="6"/>
        <v>4052370</v>
      </c>
      <c r="I69" s="232">
        <f t="shared" si="6"/>
        <v>3702990</v>
      </c>
      <c r="J69" s="232">
        <f t="shared" si="6"/>
        <v>3503264</v>
      </c>
      <c r="K69" s="232">
        <f t="shared" si="6"/>
        <v>3466487</v>
      </c>
      <c r="L69" s="232">
        <f>L52+L66+L68</f>
        <v>3312242</v>
      </c>
      <c r="M69" s="241">
        <f>SUM(M68+M66+M52)</f>
        <v>22028459</v>
      </c>
      <c r="N69" s="232">
        <f>SUM(F69:M69)</f>
        <v>49128990</v>
      </c>
    </row>
    <row r="70" spans="1:14" ht="12.75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29"/>
    </row>
    <row r="71" spans="1:14" ht="12" customHeight="1">
      <c r="A71" s="242"/>
      <c r="B71" s="216" t="s">
        <v>387</v>
      </c>
      <c r="C71" s="242"/>
      <c r="D71" s="242"/>
      <c r="E71" s="242"/>
      <c r="F71" s="243">
        <f>F69/31663480*100</f>
        <v>14.656118026192951</v>
      </c>
      <c r="G71" s="243">
        <f aca="true" t="shared" si="7" ref="G71:L71">G69/31663480*100</f>
        <v>13.967324501286656</v>
      </c>
      <c r="H71" s="243">
        <f t="shared" si="7"/>
        <v>12.798245802419697</v>
      </c>
      <c r="I71" s="243">
        <f t="shared" si="7"/>
        <v>11.694829500737127</v>
      </c>
      <c r="J71" s="243">
        <f t="shared" si="7"/>
        <v>11.064052340424995</v>
      </c>
      <c r="K71" s="243">
        <f t="shared" si="7"/>
        <v>10.947902757372216</v>
      </c>
      <c r="L71" s="243">
        <f t="shared" si="7"/>
        <v>10.460764262172068</v>
      </c>
      <c r="M71" s="242"/>
      <c r="N71" s="242"/>
    </row>
    <row r="72" spans="1:14" ht="12.75" hidden="1">
      <c r="A72" s="242"/>
      <c r="B72" s="390" t="s">
        <v>601</v>
      </c>
      <c r="C72" s="390"/>
      <c r="D72" s="390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  <row r="73" spans="1:14" ht="12.75">
      <c r="A73" s="242"/>
      <c r="B73" s="391"/>
      <c r="C73" s="391"/>
      <c r="D73" s="391"/>
      <c r="E73" s="242"/>
      <c r="F73" s="242"/>
      <c r="G73" s="242"/>
      <c r="H73" s="242"/>
      <c r="I73" s="242"/>
      <c r="J73" s="242"/>
      <c r="K73" s="242"/>
      <c r="L73" s="242"/>
      <c r="M73" s="242"/>
      <c r="N73" s="242"/>
    </row>
    <row r="74" spans="1:14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</row>
    <row r="77" spans="2:9" ht="12.75">
      <c r="B77" s="244" t="s">
        <v>519</v>
      </c>
      <c r="C77" s="244"/>
      <c r="D77" s="244"/>
      <c r="E77" s="244"/>
      <c r="F77" s="244"/>
      <c r="G77" s="244" t="s">
        <v>520</v>
      </c>
      <c r="I77" s="244"/>
    </row>
  </sheetData>
  <mergeCells count="3">
    <mergeCell ref="F11:N11"/>
    <mergeCell ref="F27:N27"/>
    <mergeCell ref="B69:E69"/>
  </mergeCells>
  <printOptions/>
  <pageMargins left="0.38" right="0.23" top="0.17" bottom="0.16" header="0.17" footer="0.16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H139"/>
  <sheetViews>
    <sheetView workbookViewId="0" topLeftCell="B1">
      <selection activeCell="F2" sqref="F2:G4"/>
    </sheetView>
  </sheetViews>
  <sheetFormatPr defaultColWidth="9.140625" defaultRowHeight="12.75"/>
  <cols>
    <col min="1" max="1" width="0.5625" style="1" hidden="1" customWidth="1"/>
    <col min="2" max="2" width="11.140625" style="1" customWidth="1"/>
    <col min="3" max="3" width="64.57421875" style="1" customWidth="1"/>
    <col min="4" max="4" width="11.8515625" style="1" hidden="1" customWidth="1"/>
    <col min="5" max="5" width="11.00390625" style="1" customWidth="1"/>
    <col min="6" max="6" width="9.57421875" style="1" customWidth="1"/>
    <col min="7" max="7" width="12.00390625" style="1" customWidth="1"/>
    <col min="8" max="16384" width="9.140625" style="1" customWidth="1"/>
  </cols>
  <sheetData>
    <row r="1" s="12" customFormat="1" ht="11.25">
      <c r="F1" s="10" t="s">
        <v>453</v>
      </c>
    </row>
    <row r="2" spans="6:7" s="12" customFormat="1" ht="11.25">
      <c r="F2" s="3" t="s">
        <v>606</v>
      </c>
      <c r="G2" s="14"/>
    </row>
    <row r="3" spans="6:7" s="12" customFormat="1" ht="11.25">
      <c r="F3" s="3" t="s">
        <v>607</v>
      </c>
      <c r="G3" s="14"/>
    </row>
    <row r="4" spans="6:7" s="12" customFormat="1" ht="11.25">
      <c r="F4" s="3" t="s">
        <v>608</v>
      </c>
      <c r="G4" s="14"/>
    </row>
    <row r="6" spans="2:7" s="299" customFormat="1" ht="30.75" customHeight="1">
      <c r="B6" s="512" t="s">
        <v>532</v>
      </c>
      <c r="C6" s="512"/>
      <c r="D6" s="512"/>
      <c r="E6" s="512"/>
      <c r="F6" s="512"/>
      <c r="G6" s="512"/>
    </row>
    <row r="7" spans="2:5" ht="10.5" customHeight="1">
      <c r="B7" s="513"/>
      <c r="C7" s="513"/>
      <c r="D7" s="513"/>
      <c r="E7" s="513"/>
    </row>
    <row r="8" spans="2:7" s="30" customFormat="1" ht="40.5" customHeight="1">
      <c r="B8" s="64" t="s">
        <v>34</v>
      </c>
      <c r="C8" s="302" t="s">
        <v>35</v>
      </c>
      <c r="D8" s="303"/>
      <c r="E8" s="304" t="s">
        <v>602</v>
      </c>
      <c r="F8" s="372" t="s">
        <v>186</v>
      </c>
      <c r="G8" s="373" t="s">
        <v>603</v>
      </c>
    </row>
    <row r="9" spans="2:3" ht="12.75">
      <c r="B9" s="38"/>
      <c r="C9" s="38"/>
    </row>
    <row r="10" spans="2:7" ht="12.75">
      <c r="B10" s="272"/>
      <c r="C10" s="272" t="s">
        <v>454</v>
      </c>
      <c r="E10" s="305">
        <f>E11</f>
        <v>1153134</v>
      </c>
      <c r="F10" s="305">
        <f>F11</f>
        <v>8266</v>
      </c>
      <c r="G10" s="305">
        <f>G11</f>
        <v>1161400</v>
      </c>
    </row>
    <row r="11" spans="2:7" s="4" customFormat="1" ht="12">
      <c r="B11" s="20"/>
      <c r="C11" s="20" t="s">
        <v>455</v>
      </c>
      <c r="E11" s="306">
        <f>E12+E13+E14+E15</f>
        <v>1153134</v>
      </c>
      <c r="F11" s="306">
        <f>F12+F13+F14+F15</f>
        <v>8266</v>
      </c>
      <c r="G11" s="306">
        <f>G12+G13+G14+G15</f>
        <v>1161400</v>
      </c>
    </row>
    <row r="12" spans="2:7" s="12" customFormat="1" ht="11.25">
      <c r="B12" s="18"/>
      <c r="C12" s="18" t="s">
        <v>456</v>
      </c>
      <c r="E12" s="39">
        <f>8309+537</f>
        <v>8846</v>
      </c>
      <c r="F12" s="14">
        <v>2200</v>
      </c>
      <c r="G12" s="14">
        <f>E12+F12</f>
        <v>11046</v>
      </c>
    </row>
    <row r="13" spans="2:7" s="12" customFormat="1" ht="11.25">
      <c r="B13" s="18"/>
      <c r="C13" s="18" t="s">
        <v>129</v>
      </c>
      <c r="E13" s="39">
        <f>712016+118872</f>
        <v>830888</v>
      </c>
      <c r="F13" s="14"/>
      <c r="G13" s="14">
        <f>E13+F13</f>
        <v>830888</v>
      </c>
    </row>
    <row r="14" spans="2:7" s="12" customFormat="1" ht="12" customHeight="1">
      <c r="B14" s="18"/>
      <c r="C14" s="18" t="s">
        <v>457</v>
      </c>
      <c r="E14" s="39">
        <v>273400</v>
      </c>
      <c r="F14" s="14">
        <v>6066</v>
      </c>
      <c r="G14" s="14">
        <f>E14+F14</f>
        <v>279466</v>
      </c>
    </row>
    <row r="15" spans="2:7" s="12" customFormat="1" ht="12" customHeight="1">
      <c r="B15" s="18"/>
      <c r="C15" s="18" t="s">
        <v>128</v>
      </c>
      <c r="E15" s="39">
        <v>40000</v>
      </c>
      <c r="F15" s="14"/>
      <c r="G15" s="14">
        <f>E15+F15</f>
        <v>40000</v>
      </c>
    </row>
    <row r="16" spans="2:5" ht="12" customHeight="1">
      <c r="B16" s="307"/>
      <c r="C16" s="307"/>
      <c r="E16" s="38"/>
    </row>
    <row r="17" spans="2:5" ht="14.25" customHeight="1" hidden="1">
      <c r="B17" s="272"/>
      <c r="C17" s="272" t="s">
        <v>458</v>
      </c>
      <c r="E17" s="305">
        <f>E18</f>
        <v>840557</v>
      </c>
    </row>
    <row r="18" spans="2:5" s="4" customFormat="1" ht="14.25" customHeight="1" hidden="1">
      <c r="B18" s="20"/>
      <c r="C18" s="20" t="s">
        <v>459</v>
      </c>
      <c r="E18" s="306">
        <f>SUM(E19:E22)</f>
        <v>840557</v>
      </c>
    </row>
    <row r="19" spans="2:5" s="12" customFormat="1" ht="12" customHeight="1" hidden="1">
      <c r="B19" s="18"/>
      <c r="C19" s="18" t="s">
        <v>128</v>
      </c>
      <c r="E19" s="39">
        <v>42343</v>
      </c>
    </row>
    <row r="20" spans="2:5" s="12" customFormat="1" ht="12" customHeight="1" hidden="1">
      <c r="B20" s="18"/>
      <c r="C20" s="18" t="s">
        <v>129</v>
      </c>
      <c r="E20" s="13">
        <v>712016</v>
      </c>
    </row>
    <row r="21" spans="2:5" s="12" customFormat="1" ht="12.75" customHeight="1" hidden="1">
      <c r="B21" s="18"/>
      <c r="C21" s="18" t="s">
        <v>457</v>
      </c>
      <c r="E21" s="13">
        <v>50164</v>
      </c>
    </row>
    <row r="22" spans="2:5" s="12" customFormat="1" ht="12.75" customHeight="1" hidden="1">
      <c r="B22" s="18"/>
      <c r="C22" s="18" t="s">
        <v>456</v>
      </c>
      <c r="E22" s="13">
        <f>1210+21824+13000</f>
        <v>36034</v>
      </c>
    </row>
    <row r="23" spans="2:3" ht="12.75" hidden="1">
      <c r="B23" s="38"/>
      <c r="C23" s="38"/>
    </row>
    <row r="24" spans="2:7" ht="12.75">
      <c r="B24" s="272"/>
      <c r="C24" s="272" t="s">
        <v>460</v>
      </c>
      <c r="E24" s="40">
        <f>SUM(E25+E26+E27+E28+E29+E30+E31+E32+E33)</f>
        <v>1198737</v>
      </c>
      <c r="F24" s="40">
        <f>SUM(F25+F26+F27+F28+F29+F30+F31+F32+F33)</f>
        <v>8266</v>
      </c>
      <c r="G24" s="40">
        <f>SUM(G25+G26+G27+G28+G29+G30+G31+G32+G33)</f>
        <v>1207003</v>
      </c>
    </row>
    <row r="25" spans="2:7" s="12" customFormat="1" ht="11.25">
      <c r="B25" s="308" t="s">
        <v>130</v>
      </c>
      <c r="C25" s="12" t="s">
        <v>80</v>
      </c>
      <c r="E25" s="14">
        <f>E41</f>
        <v>2310</v>
      </c>
      <c r="F25" s="14">
        <v>2200</v>
      </c>
      <c r="G25" s="14">
        <f aca="true" t="shared" si="0" ref="G25:G33">E25+F25</f>
        <v>4510</v>
      </c>
    </row>
    <row r="26" spans="2:7" s="12" customFormat="1" ht="11.25" hidden="1">
      <c r="B26" s="308" t="s">
        <v>82</v>
      </c>
      <c r="C26" s="12" t="s">
        <v>77</v>
      </c>
      <c r="E26" s="14"/>
      <c r="G26" s="14">
        <f t="shared" si="0"/>
        <v>0</v>
      </c>
    </row>
    <row r="27" spans="2:7" s="12" customFormat="1" ht="11.25" hidden="1">
      <c r="B27" s="308" t="s">
        <v>40</v>
      </c>
      <c r="C27" s="12" t="s">
        <v>87</v>
      </c>
      <c r="E27" s="14"/>
      <c r="G27" s="14">
        <f t="shared" si="0"/>
        <v>0</v>
      </c>
    </row>
    <row r="28" spans="2:7" s="12" customFormat="1" ht="11.25">
      <c r="B28" s="309" t="s">
        <v>43</v>
      </c>
      <c r="C28" s="12" t="s">
        <v>88</v>
      </c>
      <c r="E28" s="14">
        <f>E104+E108+E115</f>
        <v>1104288</v>
      </c>
      <c r="F28" s="14">
        <v>6066</v>
      </c>
      <c r="G28" s="14">
        <f t="shared" si="0"/>
        <v>1110354</v>
      </c>
    </row>
    <row r="29" spans="2:7" s="12" customFormat="1" ht="11.25">
      <c r="B29" s="309" t="s">
        <v>50</v>
      </c>
      <c r="C29" s="12" t="s">
        <v>92</v>
      </c>
      <c r="E29" s="14">
        <f>E53+E57+E121+E125</f>
        <v>69927</v>
      </c>
      <c r="G29" s="14">
        <f t="shared" si="0"/>
        <v>69927</v>
      </c>
    </row>
    <row r="30" spans="2:7" s="12" customFormat="1" ht="10.5" customHeight="1" hidden="1">
      <c r="B30" s="309" t="s">
        <v>56</v>
      </c>
      <c r="C30" s="12" t="s">
        <v>461</v>
      </c>
      <c r="E30" s="14"/>
      <c r="G30" s="14">
        <f t="shared" si="0"/>
        <v>0</v>
      </c>
    </row>
    <row r="31" spans="2:7" s="12" customFormat="1" ht="11.25">
      <c r="B31" s="309" t="s">
        <v>60</v>
      </c>
      <c r="C31" s="12" t="s">
        <v>121</v>
      </c>
      <c r="E31" s="14">
        <v>15212</v>
      </c>
      <c r="F31" s="14"/>
      <c r="G31" s="14">
        <f t="shared" si="0"/>
        <v>15212</v>
      </c>
    </row>
    <row r="32" spans="2:7" s="12" customFormat="1" ht="11.25" hidden="1">
      <c r="B32" s="308" t="s">
        <v>74</v>
      </c>
      <c r="C32" s="12" t="s">
        <v>44</v>
      </c>
      <c r="E32" s="14"/>
      <c r="G32" s="14">
        <f t="shared" si="0"/>
        <v>0</v>
      </c>
    </row>
    <row r="33" spans="2:7" s="12" customFormat="1" ht="11.25">
      <c r="B33" s="308" t="s">
        <v>106</v>
      </c>
      <c r="C33" s="12" t="s">
        <v>131</v>
      </c>
      <c r="E33" s="14">
        <f>E93</f>
        <v>7000</v>
      </c>
      <c r="G33" s="14">
        <f t="shared" si="0"/>
        <v>7000</v>
      </c>
    </row>
    <row r="34" spans="2:5" s="12" customFormat="1" ht="11.25">
      <c r="B34" s="308"/>
      <c r="E34" s="14"/>
    </row>
    <row r="35" ht="12.75">
      <c r="B35" s="31"/>
    </row>
    <row r="36" spans="2:7" ht="12.75">
      <c r="B36" s="31"/>
      <c r="C36" s="374" t="s">
        <v>462</v>
      </c>
      <c r="D36" s="375"/>
      <c r="E36" s="376">
        <f>E38+E101+E112+E118</f>
        <v>1198737</v>
      </c>
      <c r="F36" s="376">
        <f>F38+F101+F112+F118</f>
        <v>8266</v>
      </c>
      <c r="G36" s="376">
        <f>G38+G101+G112+G118</f>
        <v>1207003</v>
      </c>
    </row>
    <row r="37" spans="2:5" ht="12.75">
      <c r="B37" s="31"/>
      <c r="C37" s="30"/>
      <c r="E37" s="40"/>
    </row>
    <row r="38" spans="2:7" ht="12.75">
      <c r="B38" s="31"/>
      <c r="C38" s="377" t="s">
        <v>456</v>
      </c>
      <c r="D38" s="378"/>
      <c r="E38" s="379">
        <f>E41+E45+E49+E53+E57+E61+E65+E69+E73+E77+E81+E89+E93</f>
        <v>25522</v>
      </c>
      <c r="F38" s="379">
        <f>F41+F45+F49+F53+F57+F61+F65+F69+F73+F77+F81+F89+F93</f>
        <v>2200</v>
      </c>
      <c r="G38" s="379">
        <f>G41+G45+G49+G53+G57+G61+G65+G69+G73+G77+G81+G89+G93</f>
        <v>27722</v>
      </c>
    </row>
    <row r="39" ht="12.75">
      <c r="B39" s="31"/>
    </row>
    <row r="40" spans="2:8" ht="12.75">
      <c r="B40" s="310" t="s">
        <v>83</v>
      </c>
      <c r="C40" s="311" t="s">
        <v>463</v>
      </c>
      <c r="D40" s="311"/>
      <c r="E40" s="311"/>
      <c r="F40" s="311"/>
      <c r="G40" s="311"/>
      <c r="H40" s="311"/>
    </row>
    <row r="41" spans="2:7" ht="12.75">
      <c r="B41" s="31"/>
      <c r="C41" s="10" t="s">
        <v>464</v>
      </c>
      <c r="E41" s="312">
        <f>E42</f>
        <v>2310</v>
      </c>
      <c r="F41" s="312">
        <f>F42</f>
        <v>0</v>
      </c>
      <c r="G41" s="312">
        <f>G42</f>
        <v>2310</v>
      </c>
    </row>
    <row r="42" spans="2:7" ht="12.75">
      <c r="B42" s="31"/>
      <c r="C42" s="313" t="s">
        <v>465</v>
      </c>
      <c r="E42" s="14">
        <v>2310</v>
      </c>
      <c r="G42" s="14">
        <f>E42+F42</f>
        <v>2310</v>
      </c>
    </row>
    <row r="43" ht="12" customHeight="1">
      <c r="B43" s="31"/>
    </row>
    <row r="44" spans="2:3" ht="12" customHeight="1" hidden="1">
      <c r="B44" s="314" t="s">
        <v>83</v>
      </c>
      <c r="C44" s="10" t="s">
        <v>466</v>
      </c>
    </row>
    <row r="45" spans="2:5" ht="12" customHeight="1" hidden="1">
      <c r="B45" s="31"/>
      <c r="C45" s="10" t="s">
        <v>464</v>
      </c>
      <c r="E45" s="10">
        <f>E46</f>
        <v>0</v>
      </c>
    </row>
    <row r="46" spans="2:5" ht="12" customHeight="1" hidden="1">
      <c r="B46" s="31"/>
      <c r="C46" s="313" t="s">
        <v>465</v>
      </c>
      <c r="E46" s="12"/>
    </row>
    <row r="47" ht="12" customHeight="1" hidden="1">
      <c r="B47" s="31"/>
    </row>
    <row r="48" spans="2:7" ht="12" customHeight="1">
      <c r="B48" s="314" t="s">
        <v>82</v>
      </c>
      <c r="C48" s="10" t="s">
        <v>77</v>
      </c>
      <c r="E48" s="50"/>
      <c r="F48" s="50"/>
      <c r="G48" s="50"/>
    </row>
    <row r="49" spans="2:7" ht="12" customHeight="1">
      <c r="B49" s="31"/>
      <c r="C49" s="10" t="s">
        <v>464</v>
      </c>
      <c r="E49" s="312">
        <f>E50</f>
        <v>0</v>
      </c>
      <c r="F49" s="72">
        <f>F50</f>
        <v>2200</v>
      </c>
      <c r="G49" s="40">
        <f>G50</f>
        <v>2200</v>
      </c>
    </row>
    <row r="50" spans="2:7" ht="12" customHeight="1">
      <c r="B50" s="31"/>
      <c r="C50" s="313" t="s">
        <v>465</v>
      </c>
      <c r="E50" s="14">
        <v>0</v>
      </c>
      <c r="F50" s="74">
        <v>2200</v>
      </c>
      <c r="G50" s="50">
        <f>E50+F50</f>
        <v>2200</v>
      </c>
    </row>
    <row r="51" spans="2:5" ht="12" customHeight="1">
      <c r="B51" s="31"/>
      <c r="E51" s="50"/>
    </row>
    <row r="52" spans="2:5" ht="24" hidden="1">
      <c r="B52" s="314" t="s">
        <v>467</v>
      </c>
      <c r="C52" s="315" t="s">
        <v>468</v>
      </c>
      <c r="E52" s="50"/>
    </row>
    <row r="53" spans="2:7" ht="12.75" hidden="1">
      <c r="B53" s="31"/>
      <c r="C53" s="10" t="s">
        <v>464</v>
      </c>
      <c r="E53" s="312">
        <f>E54</f>
        <v>0</v>
      </c>
      <c r="F53" s="312">
        <f>F54</f>
        <v>0</v>
      </c>
      <c r="G53" s="312">
        <f>G54</f>
        <v>0</v>
      </c>
    </row>
    <row r="54" spans="2:7" ht="12.75" hidden="1">
      <c r="B54" s="31"/>
      <c r="C54" s="313" t="s">
        <v>469</v>
      </c>
      <c r="E54" s="14">
        <f>1000-1000</f>
        <v>0</v>
      </c>
      <c r="F54" s="14">
        <v>0</v>
      </c>
      <c r="G54" s="14">
        <f>E54+F54</f>
        <v>0</v>
      </c>
    </row>
    <row r="55" spans="2:7" ht="12.75" hidden="1">
      <c r="B55" s="31"/>
      <c r="C55" s="313"/>
      <c r="E55" s="14"/>
      <c r="G55" s="14"/>
    </row>
    <row r="56" spans="2:7" ht="23.25">
      <c r="B56" s="314" t="s">
        <v>467</v>
      </c>
      <c r="C56" s="315" t="s">
        <v>533</v>
      </c>
      <c r="E56" s="14"/>
      <c r="G56" s="14"/>
    </row>
    <row r="57" spans="2:7" ht="12.75">
      <c r="B57" s="31"/>
      <c r="C57" s="10" t="s">
        <v>464</v>
      </c>
      <c r="E57" s="312">
        <f>E58</f>
        <v>1000</v>
      </c>
      <c r="F57" s="312">
        <f>F58</f>
        <v>0</v>
      </c>
      <c r="G57" s="312">
        <f>E57+F57</f>
        <v>1000</v>
      </c>
    </row>
    <row r="58" spans="2:7" ht="12.75">
      <c r="B58" s="31"/>
      <c r="C58" s="313" t="s">
        <v>469</v>
      </c>
      <c r="E58" s="14">
        <v>1000</v>
      </c>
      <c r="F58" s="14">
        <v>0</v>
      </c>
      <c r="G58" s="14">
        <f>E58+F58</f>
        <v>1000</v>
      </c>
    </row>
    <row r="59" spans="2:7" ht="12.75">
      <c r="B59" s="31"/>
      <c r="C59" s="313"/>
      <c r="E59" s="14"/>
      <c r="G59" s="14"/>
    </row>
    <row r="60" spans="2:5" ht="12.75">
      <c r="B60" s="314" t="s">
        <v>470</v>
      </c>
      <c r="C60" s="316" t="s">
        <v>471</v>
      </c>
      <c r="E60" s="50"/>
    </row>
    <row r="61" spans="2:7" ht="12.75">
      <c r="B61" s="31"/>
      <c r="C61" s="10" t="s">
        <v>464</v>
      </c>
      <c r="E61" s="312">
        <f>E62</f>
        <v>5000</v>
      </c>
      <c r="F61" s="312">
        <f>F62</f>
        <v>0</v>
      </c>
      <c r="G61" s="312">
        <f>G62</f>
        <v>5000</v>
      </c>
    </row>
    <row r="62" spans="2:7" ht="12.75">
      <c r="B62" s="31"/>
      <c r="C62" s="313" t="s">
        <v>472</v>
      </c>
      <c r="E62" s="14">
        <v>5000</v>
      </c>
      <c r="G62" s="14">
        <f>E62+F62</f>
        <v>5000</v>
      </c>
    </row>
    <row r="63" spans="2:7" ht="12.75">
      <c r="B63" s="31"/>
      <c r="C63" s="313"/>
      <c r="E63" s="14"/>
      <c r="G63" s="14"/>
    </row>
    <row r="64" spans="2:5" ht="12.75">
      <c r="B64" s="314" t="s">
        <v>470</v>
      </c>
      <c r="C64" s="316" t="s">
        <v>534</v>
      </c>
      <c r="E64" s="50"/>
    </row>
    <row r="65" spans="2:7" ht="12.75">
      <c r="B65" s="31"/>
      <c r="C65" s="10" t="s">
        <v>464</v>
      </c>
      <c r="E65" s="312">
        <f>E66</f>
        <v>400</v>
      </c>
      <c r="F65" s="312">
        <f>F66</f>
        <v>0</v>
      </c>
      <c r="G65" s="312">
        <f>G66</f>
        <v>400</v>
      </c>
    </row>
    <row r="66" spans="2:7" ht="12.75">
      <c r="B66" s="31"/>
      <c r="C66" s="313" t="s">
        <v>472</v>
      </c>
      <c r="E66" s="14">
        <v>400</v>
      </c>
      <c r="F66" s="12">
        <v>0</v>
      </c>
      <c r="G66" s="14">
        <f>E66+F66</f>
        <v>400</v>
      </c>
    </row>
    <row r="67" spans="2:7" ht="12.75">
      <c r="B67" s="31"/>
      <c r="C67" s="313"/>
      <c r="E67" s="14"/>
      <c r="F67" s="12"/>
      <c r="G67" s="14"/>
    </row>
    <row r="68" spans="2:5" ht="12.75">
      <c r="B68" s="314" t="s">
        <v>470</v>
      </c>
      <c r="C68" s="316" t="s">
        <v>535</v>
      </c>
      <c r="E68" s="50"/>
    </row>
    <row r="69" spans="2:7" ht="12.75">
      <c r="B69" s="31"/>
      <c r="C69" s="10" t="s">
        <v>464</v>
      </c>
      <c r="E69" s="312">
        <f>E70</f>
        <v>1961</v>
      </c>
      <c r="F69" s="312">
        <f>F70</f>
        <v>0</v>
      </c>
      <c r="G69" s="312">
        <f>G70</f>
        <v>1961</v>
      </c>
    </row>
    <row r="70" spans="2:7" ht="12.75">
      <c r="B70" s="31"/>
      <c r="C70" s="313" t="s">
        <v>472</v>
      </c>
      <c r="E70" s="14">
        <v>1961</v>
      </c>
      <c r="F70" s="14">
        <v>0</v>
      </c>
      <c r="G70" s="14">
        <f>E70+F70</f>
        <v>1961</v>
      </c>
    </row>
    <row r="71" spans="2:7" ht="12.75">
      <c r="B71" s="31"/>
      <c r="C71" s="313"/>
      <c r="E71" s="14"/>
      <c r="F71" s="12"/>
      <c r="G71" s="14"/>
    </row>
    <row r="72" spans="2:5" ht="12.75">
      <c r="B72" s="314" t="s">
        <v>470</v>
      </c>
      <c r="C72" s="316" t="s">
        <v>536</v>
      </c>
      <c r="E72" s="50"/>
    </row>
    <row r="73" spans="2:7" ht="12.75">
      <c r="B73" s="31"/>
      <c r="C73" s="10" t="s">
        <v>464</v>
      </c>
      <c r="E73" s="312">
        <f>E74</f>
        <v>851</v>
      </c>
      <c r="F73" s="312">
        <f>F74</f>
        <v>0</v>
      </c>
      <c r="G73" s="312">
        <f>G74</f>
        <v>851</v>
      </c>
    </row>
    <row r="74" spans="2:7" ht="12.75">
      <c r="B74" s="31"/>
      <c r="C74" s="313" t="s">
        <v>472</v>
      </c>
      <c r="E74" s="14">
        <f>3212-2361</f>
        <v>851</v>
      </c>
      <c r="F74" s="14">
        <v>0</v>
      </c>
      <c r="G74" s="14">
        <f>E74+F74</f>
        <v>851</v>
      </c>
    </row>
    <row r="75" spans="2:5" ht="12.75">
      <c r="B75" s="31"/>
      <c r="E75" s="50"/>
    </row>
    <row r="76" spans="2:5" ht="22.5">
      <c r="B76" s="314" t="s">
        <v>118</v>
      </c>
      <c r="C76" s="317" t="s">
        <v>473</v>
      </c>
      <c r="E76" s="50"/>
    </row>
    <row r="77" spans="2:7" ht="12.75">
      <c r="B77" s="31"/>
      <c r="C77" s="10" t="s">
        <v>464</v>
      </c>
      <c r="E77" s="312">
        <f>E78</f>
        <v>7000</v>
      </c>
      <c r="F77" s="312">
        <f>F78</f>
        <v>0</v>
      </c>
      <c r="G77" s="312">
        <f>G78</f>
        <v>7000</v>
      </c>
    </row>
    <row r="78" spans="2:7" ht="12.75">
      <c r="B78" s="31"/>
      <c r="C78" s="313" t="s">
        <v>472</v>
      </c>
      <c r="E78" s="14">
        <v>7000</v>
      </c>
      <c r="G78" s="14">
        <f>E78+F78</f>
        <v>7000</v>
      </c>
    </row>
    <row r="79" spans="2:5" ht="12.75">
      <c r="B79" s="31"/>
      <c r="C79" s="318"/>
      <c r="E79" s="12"/>
    </row>
    <row r="80" spans="2:3" ht="12.75" hidden="1">
      <c r="B80" s="314" t="s">
        <v>118</v>
      </c>
      <c r="C80" s="316" t="s">
        <v>474</v>
      </c>
    </row>
    <row r="81" spans="2:5" ht="12.75" hidden="1">
      <c r="B81" s="31"/>
      <c r="C81" s="10" t="s">
        <v>464</v>
      </c>
      <c r="E81" s="10">
        <f>E82</f>
        <v>0</v>
      </c>
    </row>
    <row r="82" spans="2:5" ht="12.75" hidden="1">
      <c r="B82" s="31"/>
      <c r="C82" s="313" t="s">
        <v>472</v>
      </c>
      <c r="E82" s="12"/>
    </row>
    <row r="83" spans="2:5" ht="12.75" hidden="1">
      <c r="B83" s="31"/>
      <c r="C83" s="318"/>
      <c r="E83" s="12"/>
    </row>
    <row r="84" spans="2:5" ht="12.75" hidden="1">
      <c r="B84" s="31"/>
      <c r="C84" s="318"/>
      <c r="E84" s="12"/>
    </row>
    <row r="85" spans="2:5" ht="12.75" hidden="1">
      <c r="B85" s="31"/>
      <c r="C85" s="318"/>
      <c r="E85" s="12"/>
    </row>
    <row r="86" spans="2:5" ht="0.75" customHeight="1" hidden="1">
      <c r="B86" s="31"/>
      <c r="C86" s="318"/>
      <c r="E86" s="12"/>
    </row>
    <row r="87" spans="2:5" ht="12.75" hidden="1">
      <c r="B87" s="31"/>
      <c r="C87" s="319"/>
      <c r="E87" s="12"/>
    </row>
    <row r="88" spans="2:5" ht="22.5" hidden="1">
      <c r="B88" s="314" t="s">
        <v>388</v>
      </c>
      <c r="C88" s="317" t="s">
        <v>475</v>
      </c>
      <c r="E88" s="12"/>
    </row>
    <row r="89" spans="2:5" ht="12.75" hidden="1">
      <c r="B89" s="31"/>
      <c r="C89" s="10" t="s">
        <v>464</v>
      </c>
      <c r="E89" s="312">
        <f>E90</f>
        <v>0</v>
      </c>
    </row>
    <row r="90" spans="2:5" ht="12.75" hidden="1">
      <c r="B90" s="31"/>
      <c r="C90" s="313" t="s">
        <v>476</v>
      </c>
      <c r="E90" s="14"/>
    </row>
    <row r="91" spans="2:5" ht="12.75" hidden="1">
      <c r="B91" s="31"/>
      <c r="C91" s="318"/>
      <c r="E91" s="12"/>
    </row>
    <row r="92" spans="2:5" ht="22.5">
      <c r="B92" s="314" t="s">
        <v>477</v>
      </c>
      <c r="C92" s="315" t="s">
        <v>478</v>
      </c>
      <c r="E92" s="12"/>
    </row>
    <row r="93" spans="2:7" ht="12.75">
      <c r="B93" s="31"/>
      <c r="C93" s="10" t="s">
        <v>464</v>
      </c>
      <c r="E93" s="312">
        <f>E94</f>
        <v>7000</v>
      </c>
      <c r="F93" s="312">
        <f>F94</f>
        <v>0</v>
      </c>
      <c r="G93" s="312">
        <f>G94</f>
        <v>7000</v>
      </c>
    </row>
    <row r="94" spans="2:7" ht="12.75">
      <c r="B94" s="31"/>
      <c r="C94" s="313" t="s">
        <v>472</v>
      </c>
      <c r="E94" s="14">
        <v>7000</v>
      </c>
      <c r="G94" s="14">
        <f>E94+F94</f>
        <v>7000</v>
      </c>
    </row>
    <row r="95" spans="2:5" ht="12.75">
      <c r="B95" s="31"/>
      <c r="C95" s="313"/>
      <c r="E95" s="14"/>
    </row>
    <row r="96" spans="2:5" ht="12.75">
      <c r="B96" s="31"/>
      <c r="C96" s="313"/>
      <c r="E96" s="14"/>
    </row>
    <row r="97" spans="2:5" ht="12.75">
      <c r="B97" s="31"/>
      <c r="C97" s="313"/>
      <c r="E97" s="14"/>
    </row>
    <row r="98" spans="2:5" ht="12.75">
      <c r="B98" s="31"/>
      <c r="C98" s="319">
        <v>2</v>
      </c>
      <c r="E98" s="14"/>
    </row>
    <row r="99" spans="2:7" s="30" customFormat="1" ht="36.75" customHeight="1">
      <c r="B99" s="301" t="s">
        <v>34</v>
      </c>
      <c r="C99" s="302" t="s">
        <v>35</v>
      </c>
      <c r="D99" s="303"/>
      <c r="E99" s="304" t="s">
        <v>604</v>
      </c>
      <c r="F99" s="372" t="s">
        <v>186</v>
      </c>
      <c r="G99" s="373" t="s">
        <v>603</v>
      </c>
    </row>
    <row r="100" spans="2:5" ht="12.75">
      <c r="B100" s="31"/>
      <c r="C100" s="318"/>
      <c r="E100" s="12"/>
    </row>
    <row r="101" spans="2:7" ht="12.75">
      <c r="B101" s="31"/>
      <c r="C101" s="377" t="s">
        <v>479</v>
      </c>
      <c r="D101" s="378"/>
      <c r="E101" s="379">
        <f>E104+E108</f>
        <v>830888</v>
      </c>
      <c r="F101" s="380">
        <f>F104+F108</f>
        <v>0</v>
      </c>
      <c r="G101" s="379">
        <f>G104+G108</f>
        <v>830888</v>
      </c>
    </row>
    <row r="102" spans="2:5" ht="12.75">
      <c r="B102" s="31"/>
      <c r="C102" s="318"/>
      <c r="E102" s="12"/>
    </row>
    <row r="103" spans="2:3" ht="12.75">
      <c r="B103" s="314" t="s">
        <v>90</v>
      </c>
      <c r="C103" s="317" t="s">
        <v>480</v>
      </c>
    </row>
    <row r="104" spans="2:7" ht="12.75">
      <c r="B104" s="31"/>
      <c r="C104" s="10" t="s">
        <v>464</v>
      </c>
      <c r="E104" s="312">
        <f>E105</f>
        <v>99309</v>
      </c>
      <c r="F104" s="312">
        <f>F105</f>
        <v>0</v>
      </c>
      <c r="G104" s="312">
        <f>G105</f>
        <v>99309</v>
      </c>
    </row>
    <row r="105" spans="2:7" ht="12.75">
      <c r="B105" s="31"/>
      <c r="C105" s="313" t="s">
        <v>469</v>
      </c>
      <c r="E105" s="14">
        <f>712016-612707</f>
        <v>99309</v>
      </c>
      <c r="F105" s="14">
        <v>0</v>
      </c>
      <c r="G105" s="14">
        <f>E105+F105</f>
        <v>99309</v>
      </c>
    </row>
    <row r="106" spans="2:7" ht="12.75">
      <c r="B106" s="31"/>
      <c r="C106" s="313"/>
      <c r="E106" s="14"/>
      <c r="F106" s="12"/>
      <c r="G106" s="14"/>
    </row>
    <row r="107" spans="2:7" ht="12.75">
      <c r="B107" s="314" t="s">
        <v>90</v>
      </c>
      <c r="C107" s="317" t="s">
        <v>537</v>
      </c>
      <c r="E107" s="14"/>
      <c r="F107" s="12"/>
      <c r="G107" s="14"/>
    </row>
    <row r="108" spans="2:7" ht="12.75">
      <c r="B108" s="31"/>
      <c r="C108" s="10" t="s">
        <v>464</v>
      </c>
      <c r="E108" s="312">
        <f>E109+E110</f>
        <v>731579</v>
      </c>
      <c r="F108" s="312">
        <f>F109+F110</f>
        <v>0</v>
      </c>
      <c r="G108" s="312">
        <f>E108+F108</f>
        <v>731579</v>
      </c>
    </row>
    <row r="109" spans="2:7" ht="12.75">
      <c r="B109" s="31"/>
      <c r="C109" s="313" t="s">
        <v>465</v>
      </c>
      <c r="E109" s="14">
        <v>85163</v>
      </c>
      <c r="F109" s="14"/>
      <c r="G109" s="14">
        <f>SUM(E109:F109)</f>
        <v>85163</v>
      </c>
    </row>
    <row r="110" spans="2:7" ht="12.75">
      <c r="B110" s="31"/>
      <c r="C110" s="313" t="s">
        <v>469</v>
      </c>
      <c r="E110" s="14">
        <f>612707+33709</f>
        <v>646416</v>
      </c>
      <c r="F110" s="14"/>
      <c r="G110" s="14">
        <f>E110+F110</f>
        <v>646416</v>
      </c>
    </row>
    <row r="111" spans="2:7" ht="12.75">
      <c r="B111" s="31"/>
      <c r="C111" s="313"/>
      <c r="E111" s="14"/>
      <c r="F111" s="12"/>
      <c r="G111" s="14"/>
    </row>
    <row r="112" spans="2:7" ht="12.75">
      <c r="B112" s="31"/>
      <c r="C112" s="377" t="s">
        <v>481</v>
      </c>
      <c r="D112" s="378"/>
      <c r="E112" s="379">
        <f>E115</f>
        <v>273400</v>
      </c>
      <c r="F112" s="379">
        <f>F115</f>
        <v>6066</v>
      </c>
      <c r="G112" s="379">
        <f>G115</f>
        <v>279466</v>
      </c>
    </row>
    <row r="113" spans="2:5" ht="12.75">
      <c r="B113" s="31"/>
      <c r="C113" s="318"/>
      <c r="E113" s="12"/>
    </row>
    <row r="114" spans="2:5" ht="12.75">
      <c r="B114" s="314" t="s">
        <v>237</v>
      </c>
      <c r="C114" s="316" t="s">
        <v>224</v>
      </c>
      <c r="E114" s="12"/>
    </row>
    <row r="115" spans="2:7" ht="12.75">
      <c r="B115" s="31"/>
      <c r="C115" s="10" t="s">
        <v>464</v>
      </c>
      <c r="E115" s="312">
        <f>E116</f>
        <v>273400</v>
      </c>
      <c r="F115" s="312">
        <f>F116</f>
        <v>6066</v>
      </c>
      <c r="G115" s="312">
        <f>G116</f>
        <v>279466</v>
      </c>
    </row>
    <row r="116" spans="2:7" ht="12.75">
      <c r="B116" s="31"/>
      <c r="C116" s="313" t="s">
        <v>472</v>
      </c>
      <c r="E116" s="14">
        <v>273400</v>
      </c>
      <c r="F116" s="14">
        <v>6066</v>
      </c>
      <c r="G116" s="14">
        <f>E116+F116</f>
        <v>279466</v>
      </c>
    </row>
    <row r="117" spans="2:5" ht="12.75">
      <c r="B117" s="31"/>
      <c r="C117" s="318"/>
      <c r="E117" s="14"/>
    </row>
    <row r="118" spans="2:7" ht="12.75">
      <c r="B118" s="31"/>
      <c r="C118" s="377" t="s">
        <v>128</v>
      </c>
      <c r="D118" s="378"/>
      <c r="E118" s="379">
        <f>E121+E125</f>
        <v>68927</v>
      </c>
      <c r="F118" s="380">
        <f>F121+F125</f>
        <v>0</v>
      </c>
      <c r="G118" s="379">
        <f>G121+G125</f>
        <v>68927</v>
      </c>
    </row>
    <row r="119" spans="2:5" ht="12.75">
      <c r="B119" s="31"/>
      <c r="C119" s="318"/>
      <c r="E119" s="14"/>
    </row>
    <row r="120" spans="2:5" ht="12.75">
      <c r="B120" s="314" t="s">
        <v>482</v>
      </c>
      <c r="C120" s="317" t="s">
        <v>480</v>
      </c>
      <c r="E120" s="14"/>
    </row>
    <row r="121" spans="2:7" ht="12.75">
      <c r="B121" s="31"/>
      <c r="C121" s="10" t="s">
        <v>464</v>
      </c>
      <c r="E121" s="312">
        <f>E122</f>
        <v>1530</v>
      </c>
      <c r="F121" s="312">
        <f>F122</f>
        <v>0</v>
      </c>
      <c r="G121" s="312">
        <f>G122</f>
        <v>1530</v>
      </c>
    </row>
    <row r="122" spans="2:7" ht="12.75">
      <c r="B122" s="31"/>
      <c r="C122" s="313" t="s">
        <v>465</v>
      </c>
      <c r="E122" s="14">
        <f>68927-67397</f>
        <v>1530</v>
      </c>
      <c r="F122" s="14">
        <v>0</v>
      </c>
      <c r="G122" s="14">
        <f>E122+F122</f>
        <v>1530</v>
      </c>
    </row>
    <row r="123" spans="2:7" ht="12.75">
      <c r="B123" s="31"/>
      <c r="C123" s="313"/>
      <c r="E123" s="14"/>
      <c r="F123" s="12"/>
      <c r="G123" s="14"/>
    </row>
    <row r="124" spans="2:7" ht="12.75">
      <c r="B124" s="314" t="s">
        <v>482</v>
      </c>
      <c r="C124" s="317" t="s">
        <v>537</v>
      </c>
      <c r="E124" s="14"/>
      <c r="F124" s="12"/>
      <c r="G124" s="14"/>
    </row>
    <row r="125" spans="2:7" ht="12.75">
      <c r="B125" s="31"/>
      <c r="C125" s="10" t="s">
        <v>464</v>
      </c>
      <c r="E125" s="312">
        <f>E126</f>
        <v>67397</v>
      </c>
      <c r="F125" s="312">
        <f>F126</f>
        <v>0</v>
      </c>
      <c r="G125" s="312">
        <f>G126</f>
        <v>67397</v>
      </c>
    </row>
    <row r="126" spans="2:7" ht="12.75">
      <c r="B126" s="31"/>
      <c r="C126" s="313" t="s">
        <v>465</v>
      </c>
      <c r="E126" s="14">
        <v>67397</v>
      </c>
      <c r="F126" s="14">
        <v>0</v>
      </c>
      <c r="G126" s="14">
        <f>E126+F126</f>
        <v>67397</v>
      </c>
    </row>
    <row r="127" spans="2:7" ht="12.75">
      <c r="B127" s="31"/>
      <c r="C127" s="313"/>
      <c r="E127" s="14"/>
      <c r="F127" s="12"/>
      <c r="G127" s="14"/>
    </row>
    <row r="128" spans="2:5" ht="12.75">
      <c r="B128" s="31"/>
      <c r="C128" s="318"/>
      <c r="E128" s="14"/>
    </row>
    <row r="129" spans="2:7" ht="12.75">
      <c r="B129" s="320"/>
      <c r="C129" s="321"/>
      <c r="D129" s="322"/>
      <c r="E129" s="323"/>
      <c r="F129" s="320"/>
      <c r="G129" s="321"/>
    </row>
    <row r="130" spans="2:5" ht="12.75">
      <c r="B130" s="31"/>
      <c r="C130" s="318"/>
      <c r="E130" s="14"/>
    </row>
    <row r="131" spans="3:7" s="324" customFormat="1" ht="12.75">
      <c r="C131" s="325" t="s">
        <v>483</v>
      </c>
      <c r="D131" s="325"/>
      <c r="E131" s="326">
        <f>E10-E24</f>
        <v>-45603</v>
      </c>
      <c r="F131" s="326">
        <f>F10-F24</f>
        <v>0</v>
      </c>
      <c r="G131" s="326">
        <f>G10-G24</f>
        <v>-45603</v>
      </c>
    </row>
    <row r="132" spans="3:7" ht="12.75">
      <c r="C132" s="30" t="s">
        <v>484</v>
      </c>
      <c r="E132" s="40">
        <f>E134-E135+E136</f>
        <v>45603</v>
      </c>
      <c r="F132" s="40">
        <f>F134-F135+F136</f>
        <v>0</v>
      </c>
      <c r="G132" s="40">
        <f>G134-G135+G136</f>
        <v>45603</v>
      </c>
    </row>
    <row r="133" spans="2:7" s="12" customFormat="1" ht="12.75">
      <c r="B133" s="30" t="s">
        <v>485</v>
      </c>
      <c r="C133" s="10" t="s">
        <v>133</v>
      </c>
      <c r="E133" s="312">
        <f>SUM(E134:E135)</f>
        <v>45603</v>
      </c>
      <c r="F133" s="312">
        <f>SUM(F134:F135)</f>
        <v>0</v>
      </c>
      <c r="G133" s="312">
        <f>SUM(G134:G135)</f>
        <v>45603</v>
      </c>
    </row>
    <row r="134" spans="3:7" s="12" customFormat="1" ht="11.25">
      <c r="C134" s="12" t="s">
        <v>486</v>
      </c>
      <c r="E134" s="14">
        <v>45603</v>
      </c>
      <c r="G134" s="14">
        <f>E134+F134</f>
        <v>45603</v>
      </c>
    </row>
    <row r="135" spans="3:7" s="12" customFormat="1" ht="11.25">
      <c r="C135" s="12" t="s">
        <v>487</v>
      </c>
      <c r="E135" s="12">
        <v>0</v>
      </c>
      <c r="G135" s="14">
        <f>E135+F135</f>
        <v>0</v>
      </c>
    </row>
    <row r="136" spans="2:5" ht="12.75" hidden="1">
      <c r="B136" s="30" t="s">
        <v>488</v>
      </c>
      <c r="C136" s="30" t="s">
        <v>197</v>
      </c>
      <c r="E136" s="312">
        <f>SUM(E137)</f>
        <v>0</v>
      </c>
    </row>
    <row r="137" spans="3:5" ht="12.75" hidden="1">
      <c r="C137" s="28" t="s">
        <v>489</v>
      </c>
      <c r="E137" s="41"/>
    </row>
    <row r="139" spans="2:5" ht="12.75">
      <c r="B139" s="1" t="s">
        <v>519</v>
      </c>
      <c r="E139" s="1" t="s">
        <v>520</v>
      </c>
    </row>
  </sheetData>
  <mergeCells count="2">
    <mergeCell ref="B6:G6"/>
    <mergeCell ref="B7:E7"/>
  </mergeCells>
  <printOptions/>
  <pageMargins left="0.55" right="0.16" top="0.36" bottom="0.38" header="0.19" footer="0.2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181"/>
  <sheetViews>
    <sheetView tabSelected="1" workbookViewId="0" topLeftCell="A1">
      <selection activeCell="J2" sqref="J2:K4"/>
    </sheetView>
  </sheetViews>
  <sheetFormatPr defaultColWidth="9.140625" defaultRowHeight="12.75"/>
  <cols>
    <col min="1" max="1" width="12.140625" style="244" customWidth="1"/>
    <col min="2" max="4" width="9.140625" style="244" customWidth="1"/>
    <col min="5" max="5" width="12.00390625" style="244" customWidth="1"/>
    <col min="6" max="6" width="11.00390625" style="244" customWidth="1"/>
    <col min="7" max="7" width="1.421875" style="244" hidden="1" customWidth="1"/>
    <col min="8" max="8" width="0.13671875" style="244" hidden="1" customWidth="1"/>
    <col min="9" max="9" width="11.8515625" style="244" customWidth="1"/>
    <col min="10" max="10" width="11.28125" style="244" customWidth="1"/>
    <col min="11" max="11" width="11.421875" style="244" customWidth="1"/>
    <col min="12" max="16384" width="9.140625" style="244" customWidth="1"/>
  </cols>
  <sheetData>
    <row r="1" spans="1:10" ht="12.75">
      <c r="A1" s="327"/>
      <c r="G1" s="221" t="s">
        <v>490</v>
      </c>
      <c r="J1" s="328" t="s">
        <v>491</v>
      </c>
    </row>
    <row r="2" spans="1:11" ht="12.75">
      <c r="A2" s="327"/>
      <c r="G2" s="216" t="s">
        <v>492</v>
      </c>
      <c r="J2" s="3" t="s">
        <v>606</v>
      </c>
      <c r="K2" s="14"/>
    </row>
    <row r="3" spans="1:11" ht="12.75">
      <c r="A3" s="327"/>
      <c r="G3" s="216" t="s">
        <v>493</v>
      </c>
      <c r="J3" s="3" t="s">
        <v>607</v>
      </c>
      <c r="K3" s="14"/>
    </row>
    <row r="4" spans="1:11" ht="12.75">
      <c r="A4" s="327"/>
      <c r="G4" s="216" t="s">
        <v>494</v>
      </c>
      <c r="J4" s="3" t="s">
        <v>608</v>
      </c>
      <c r="K4" s="14"/>
    </row>
    <row r="5" spans="1:9" ht="12.75">
      <c r="A5" s="327"/>
      <c r="I5" s="329"/>
    </row>
    <row r="6" spans="1:11" ht="14.25">
      <c r="A6" s="519" t="s">
        <v>495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11" ht="14.25">
      <c r="A7" s="519" t="s">
        <v>496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</row>
    <row r="8" spans="1:9" ht="7.5" customHeight="1">
      <c r="A8" s="327"/>
      <c r="I8" s="327"/>
    </row>
    <row r="9" spans="1:11" s="215" customFormat="1" ht="39.75" customHeight="1">
      <c r="A9" s="330" t="s">
        <v>34</v>
      </c>
      <c r="B9" s="520" t="s">
        <v>35</v>
      </c>
      <c r="C9" s="521"/>
      <c r="D9" s="521"/>
      <c r="E9" s="521"/>
      <c r="F9" s="521"/>
      <c r="G9" s="522"/>
      <c r="H9" s="331"/>
      <c r="I9" s="332" t="s">
        <v>605</v>
      </c>
      <c r="J9" s="400" t="s">
        <v>186</v>
      </c>
      <c r="K9" s="401" t="s">
        <v>603</v>
      </c>
    </row>
    <row r="10" ht="12.75">
      <c r="I10" s="329"/>
    </row>
    <row r="11" spans="1:11" ht="12.75">
      <c r="A11" s="329"/>
      <c r="B11" s="215" t="s">
        <v>454</v>
      </c>
      <c r="C11" s="215"/>
      <c r="D11" s="215"/>
      <c r="E11" s="215"/>
      <c r="F11" s="215"/>
      <c r="G11" s="215"/>
      <c r="H11" s="215"/>
      <c r="I11" s="333">
        <f>SUM(I12)</f>
        <v>14783</v>
      </c>
      <c r="J11" s="381">
        <f>J12</f>
        <v>2269</v>
      </c>
      <c r="K11" s="381">
        <f>I11+J11</f>
        <v>17052</v>
      </c>
    </row>
    <row r="12" spans="1:11" ht="12.75">
      <c r="A12" s="329"/>
      <c r="B12" s="334" t="s">
        <v>497</v>
      </c>
      <c r="C12" s="334"/>
      <c r="D12" s="334"/>
      <c r="E12" s="334"/>
      <c r="F12" s="334"/>
      <c r="G12" s="334"/>
      <c r="H12" s="334"/>
      <c r="I12" s="335">
        <f>SUM(I13:I14)</f>
        <v>14783</v>
      </c>
      <c r="J12" s="382">
        <f>J13+J14</f>
        <v>2269</v>
      </c>
      <c r="K12" s="382">
        <f>K13+K14</f>
        <v>17052</v>
      </c>
    </row>
    <row r="13" spans="1:11" ht="12.75">
      <c r="A13" s="329"/>
      <c r="B13" s="216"/>
      <c r="C13" s="514" t="s">
        <v>498</v>
      </c>
      <c r="D13" s="514"/>
      <c r="E13" s="514"/>
      <c r="F13" s="514"/>
      <c r="G13" s="216"/>
      <c r="H13" s="216"/>
      <c r="I13" s="337">
        <f>2240+5966+4920</f>
        <v>13126</v>
      </c>
      <c r="J13" s="358"/>
      <c r="K13" s="358">
        <f>I13+J13</f>
        <v>13126</v>
      </c>
    </row>
    <row r="14" spans="1:11" ht="12.75">
      <c r="A14" s="329"/>
      <c r="B14" s="216"/>
      <c r="C14" s="514" t="s">
        <v>499</v>
      </c>
      <c r="D14" s="514"/>
      <c r="E14" s="514"/>
      <c r="F14" s="514"/>
      <c r="G14" s="216"/>
      <c r="H14" s="216"/>
      <c r="I14" s="337">
        <f>120+1031+500+6</f>
        <v>1657</v>
      </c>
      <c r="J14" s="358">
        <v>2269</v>
      </c>
      <c r="K14" s="358">
        <f>I14+J14</f>
        <v>3926</v>
      </c>
    </row>
    <row r="15" spans="1:10" ht="12.75">
      <c r="A15" s="329"/>
      <c r="I15" s="329"/>
      <c r="J15" s="383"/>
    </row>
    <row r="16" spans="1:11" ht="12.75">
      <c r="A16" s="329"/>
      <c r="B16" s="215" t="s">
        <v>500</v>
      </c>
      <c r="C16" s="215"/>
      <c r="D16" s="215"/>
      <c r="E16" s="215"/>
      <c r="F16" s="215"/>
      <c r="G16" s="215"/>
      <c r="H16" s="215"/>
      <c r="I16" s="333">
        <f>I17+I18+I19+I21</f>
        <v>19108</v>
      </c>
      <c r="J16" s="381">
        <f>J17+J18+J19+J21</f>
        <v>2269</v>
      </c>
      <c r="K16" s="381">
        <f>K17+K18+K19+K21</f>
        <v>21377</v>
      </c>
    </row>
    <row r="17" spans="1:11" ht="12.75">
      <c r="A17" s="336" t="s">
        <v>130</v>
      </c>
      <c r="B17" s="514" t="s">
        <v>501</v>
      </c>
      <c r="C17" s="514"/>
      <c r="D17" s="514"/>
      <c r="E17" s="514"/>
      <c r="F17" s="216"/>
      <c r="G17" s="216"/>
      <c r="H17" s="216"/>
      <c r="I17" s="337">
        <v>3</v>
      </c>
      <c r="J17" s="358"/>
      <c r="K17" s="358">
        <f>I17+J17</f>
        <v>3</v>
      </c>
    </row>
    <row r="18" spans="1:11" ht="12.75">
      <c r="A18" s="338" t="s">
        <v>60</v>
      </c>
      <c r="B18" s="514" t="s">
        <v>121</v>
      </c>
      <c r="C18" s="514"/>
      <c r="D18" s="514"/>
      <c r="E18" s="514"/>
      <c r="F18" s="216"/>
      <c r="G18" s="216"/>
      <c r="H18" s="216"/>
      <c r="I18" s="337">
        <f>188+408+5966</f>
        <v>6562</v>
      </c>
      <c r="J18" s="358"/>
      <c r="K18" s="358">
        <f>I18+J18</f>
        <v>6562</v>
      </c>
    </row>
    <row r="19" spans="1:11" ht="12.75">
      <c r="A19" s="338" t="s">
        <v>74</v>
      </c>
      <c r="B19" s="514" t="s">
        <v>44</v>
      </c>
      <c r="C19" s="514"/>
      <c r="D19" s="514"/>
      <c r="E19" s="514"/>
      <c r="F19" s="216"/>
      <c r="G19" s="216"/>
      <c r="H19" s="216"/>
      <c r="I19" s="337">
        <f>1557+500+756</f>
        <v>2813</v>
      </c>
      <c r="J19" s="358">
        <v>2269</v>
      </c>
      <c r="K19" s="358">
        <f>I19+J19</f>
        <v>5082</v>
      </c>
    </row>
    <row r="20" spans="1:11" ht="12.75" hidden="1">
      <c r="A20" s="329"/>
      <c r="I20" s="329"/>
      <c r="J20" s="358"/>
      <c r="K20" s="358">
        <f>I20+J20</f>
        <v>0</v>
      </c>
    </row>
    <row r="21" spans="1:11" ht="12.75">
      <c r="A21" s="338" t="s">
        <v>106</v>
      </c>
      <c r="B21" s="514" t="s">
        <v>131</v>
      </c>
      <c r="C21" s="514"/>
      <c r="D21" s="514"/>
      <c r="E21" s="514"/>
      <c r="F21" s="216"/>
      <c r="G21" s="216"/>
      <c r="H21" s="216"/>
      <c r="I21" s="337">
        <f>5560+4170</f>
        <v>9730</v>
      </c>
      <c r="J21" s="358"/>
      <c r="K21" s="358">
        <f>I21+J21</f>
        <v>9730</v>
      </c>
    </row>
    <row r="22" spans="1:9" ht="12.75">
      <c r="A22" s="329"/>
      <c r="I22" s="329"/>
    </row>
    <row r="23" spans="1:11" ht="12.75">
      <c r="A23" s="329"/>
      <c r="I23" s="341">
        <f>I43+I61+I97+I139+I155+I79</f>
        <v>14783</v>
      </c>
      <c r="J23" s="341">
        <f>J43+J61+J97+J139+J155+J79</f>
        <v>2269</v>
      </c>
      <c r="K23" s="341">
        <f>K43+K61+K97+K139+K155+K79</f>
        <v>17052</v>
      </c>
    </row>
    <row r="24" spans="1:11" ht="12.75">
      <c r="A24" s="329"/>
      <c r="B24" s="523" t="s">
        <v>502</v>
      </c>
      <c r="C24" s="523"/>
      <c r="D24" s="523"/>
      <c r="E24" s="523"/>
      <c r="F24" s="523"/>
      <c r="I24" s="341">
        <f>I29+I45+I63+I99+I125+I141+I157+I81</f>
        <v>19108</v>
      </c>
      <c r="J24" s="341">
        <f>J29+J45+J63+J99+J125+J141+J157+J81</f>
        <v>2269</v>
      </c>
      <c r="K24" s="341">
        <f>K29+K45+K63+K99+K125+K141+K157+K81</f>
        <v>21377</v>
      </c>
    </row>
    <row r="25" spans="1:9" ht="12.75">
      <c r="A25" s="329"/>
      <c r="I25" s="333"/>
    </row>
    <row r="26" spans="1:7" s="334" customFormat="1" ht="12">
      <c r="A26" s="339" t="s">
        <v>122</v>
      </c>
      <c r="B26" s="524" t="s">
        <v>36</v>
      </c>
      <c r="C26" s="524"/>
      <c r="D26" s="524"/>
      <c r="E26" s="524"/>
      <c r="F26" s="524"/>
      <c r="G26" s="335"/>
    </row>
    <row r="27" spans="1:7" s="216" customFormat="1" ht="11.25" customHeight="1" hidden="1">
      <c r="A27" s="340"/>
      <c r="B27" s="525" t="s">
        <v>503</v>
      </c>
      <c r="C27" s="525"/>
      <c r="D27" s="525"/>
      <c r="E27" s="525"/>
      <c r="F27" s="525"/>
      <c r="G27" s="341">
        <f>G28</f>
        <v>0</v>
      </c>
    </row>
    <row r="28" spans="1:7" s="216" customFormat="1" ht="11.25" customHeight="1" hidden="1">
      <c r="A28" s="340"/>
      <c r="B28" s="514" t="s">
        <v>137</v>
      </c>
      <c r="C28" s="514"/>
      <c r="D28" s="514"/>
      <c r="E28" s="514"/>
      <c r="F28" s="514"/>
      <c r="G28" s="337"/>
    </row>
    <row r="29" spans="1:11" s="216" customFormat="1" ht="11.25" customHeight="1">
      <c r="A29" s="340"/>
      <c r="B29" s="525" t="s">
        <v>504</v>
      </c>
      <c r="C29" s="525"/>
      <c r="D29" s="525"/>
      <c r="E29" s="525"/>
      <c r="F29" s="525"/>
      <c r="G29" s="341">
        <f>SUM(G30:G35)</f>
        <v>3</v>
      </c>
      <c r="I29" s="221">
        <f>I30+I31+I32+I33+I34+I35</f>
        <v>3</v>
      </c>
      <c r="J29" s="221">
        <f>J31</f>
        <v>0</v>
      </c>
      <c r="K29" s="221">
        <f>K31</f>
        <v>3</v>
      </c>
    </row>
    <row r="30" spans="1:7" s="216" customFormat="1" ht="11.25" customHeight="1" hidden="1">
      <c r="A30" s="340"/>
      <c r="B30" s="517" t="s">
        <v>505</v>
      </c>
      <c r="C30" s="518"/>
      <c r="D30" s="518"/>
      <c r="E30" s="518"/>
      <c r="F30" s="518"/>
      <c r="G30" s="337"/>
    </row>
    <row r="31" spans="1:11" s="216" customFormat="1" ht="11.25" customHeight="1">
      <c r="A31" s="340"/>
      <c r="B31" s="517" t="s">
        <v>465</v>
      </c>
      <c r="C31" s="518"/>
      <c r="D31" s="518"/>
      <c r="E31" s="518"/>
      <c r="F31" s="518"/>
      <c r="G31" s="337">
        <v>3</v>
      </c>
      <c r="I31" s="216">
        <v>3</v>
      </c>
      <c r="K31" s="216">
        <f>I31+J31</f>
        <v>3</v>
      </c>
    </row>
    <row r="32" spans="1:7" s="216" customFormat="1" ht="11.25" customHeight="1" hidden="1">
      <c r="A32" s="340"/>
      <c r="B32" s="517" t="s">
        <v>472</v>
      </c>
      <c r="C32" s="518"/>
      <c r="D32" s="518"/>
      <c r="E32" s="518"/>
      <c r="F32" s="518"/>
      <c r="G32" s="341"/>
    </row>
    <row r="33" spans="1:7" s="216" customFormat="1" ht="11.25" customHeight="1" hidden="1">
      <c r="A33" s="340"/>
      <c r="B33" s="517" t="s">
        <v>506</v>
      </c>
      <c r="C33" s="518"/>
      <c r="D33" s="518"/>
      <c r="E33" s="518"/>
      <c r="F33" s="518"/>
      <c r="G33" s="341"/>
    </row>
    <row r="34" spans="1:7" s="216" customFormat="1" ht="11.25" customHeight="1" hidden="1">
      <c r="A34" s="340"/>
      <c r="B34" s="517" t="s">
        <v>469</v>
      </c>
      <c r="C34" s="518"/>
      <c r="D34" s="518"/>
      <c r="E34" s="518"/>
      <c r="F34" s="518"/>
      <c r="G34" s="341"/>
    </row>
    <row r="35" spans="1:7" s="216" customFormat="1" ht="11.25" customHeight="1" hidden="1">
      <c r="A35" s="340"/>
      <c r="B35" s="517" t="s">
        <v>476</v>
      </c>
      <c r="C35" s="518"/>
      <c r="D35" s="518"/>
      <c r="E35" s="518"/>
      <c r="F35" s="518"/>
      <c r="G35" s="337"/>
    </row>
    <row r="36" spans="1:11" s="216" customFormat="1" ht="11.25" customHeight="1">
      <c r="A36" s="340"/>
      <c r="B36" s="516" t="s">
        <v>277</v>
      </c>
      <c r="C36" s="516"/>
      <c r="D36" s="516"/>
      <c r="E36" s="516"/>
      <c r="F36" s="516"/>
      <c r="G36" s="341">
        <f>G27-G29</f>
        <v>-3</v>
      </c>
      <c r="I36" s="221">
        <f>I27-I29</f>
        <v>-3</v>
      </c>
      <c r="J36" s="221">
        <f>J27-J29</f>
        <v>0</v>
      </c>
      <c r="K36" s="221">
        <f>K27-K29</f>
        <v>-3</v>
      </c>
    </row>
    <row r="37" spans="1:11" s="216" customFormat="1" ht="12" customHeight="1">
      <c r="A37" s="340"/>
      <c r="B37" s="516" t="s">
        <v>279</v>
      </c>
      <c r="C37" s="516"/>
      <c r="D37" s="516"/>
      <c r="E37" s="516"/>
      <c r="F37" s="516"/>
      <c r="G37" s="341">
        <f>G38+G39+G40</f>
        <v>3</v>
      </c>
      <c r="I37" s="221">
        <f>I38+I39+I40</f>
        <v>3</v>
      </c>
      <c r="J37" s="221">
        <f>J38+J39+J40</f>
        <v>0</v>
      </c>
      <c r="K37" s="221">
        <f>K38+K39+K40</f>
        <v>3</v>
      </c>
    </row>
    <row r="38" spans="1:11" s="216" customFormat="1" ht="12" customHeight="1">
      <c r="A38" s="340"/>
      <c r="B38" s="515" t="s">
        <v>278</v>
      </c>
      <c r="C38" s="515"/>
      <c r="D38" s="515"/>
      <c r="E38" s="515"/>
      <c r="F38" s="515"/>
      <c r="G38" s="337">
        <v>3</v>
      </c>
      <c r="I38" s="216">
        <v>3</v>
      </c>
      <c r="K38" s="216">
        <f>I38+J38</f>
        <v>3</v>
      </c>
    </row>
    <row r="39" spans="1:7" s="216" customFormat="1" ht="11.25" customHeight="1" hidden="1">
      <c r="A39" s="340"/>
      <c r="B39" s="515" t="s">
        <v>280</v>
      </c>
      <c r="C39" s="515"/>
      <c r="D39" s="515"/>
      <c r="E39" s="515"/>
      <c r="F39" s="515"/>
      <c r="G39" s="337"/>
    </row>
    <row r="40" spans="1:7" s="216" customFormat="1" ht="11.25" customHeight="1" hidden="1">
      <c r="A40" s="340"/>
      <c r="B40" s="515" t="s">
        <v>281</v>
      </c>
      <c r="C40" s="515"/>
      <c r="D40" s="515"/>
      <c r="E40" s="515"/>
      <c r="F40" s="515"/>
      <c r="G40" s="337"/>
    </row>
    <row r="41" spans="1:9" ht="12.75">
      <c r="A41" s="329"/>
      <c r="I41" s="329"/>
    </row>
    <row r="42" spans="1:7" s="343" customFormat="1" ht="12">
      <c r="A42" s="310" t="s">
        <v>66</v>
      </c>
      <c r="B42" s="526" t="s">
        <v>507</v>
      </c>
      <c r="C42" s="526"/>
      <c r="D42" s="526"/>
      <c r="E42" s="526"/>
      <c r="F42" s="526"/>
      <c r="G42" s="4"/>
    </row>
    <row r="43" spans="1:11" s="216" customFormat="1" ht="11.25" customHeight="1">
      <c r="A43" s="340"/>
      <c r="B43" s="525" t="s">
        <v>503</v>
      </c>
      <c r="C43" s="525"/>
      <c r="D43" s="525"/>
      <c r="E43" s="525"/>
      <c r="F43" s="525"/>
      <c r="G43" s="341">
        <f>G44</f>
        <v>0</v>
      </c>
      <c r="I43" s="221">
        <f>I44</f>
        <v>596</v>
      </c>
      <c r="J43" s="221">
        <f>J44</f>
        <v>0</v>
      </c>
      <c r="K43" s="221">
        <f>K44</f>
        <v>596</v>
      </c>
    </row>
    <row r="44" spans="1:11" s="216" customFormat="1" ht="11.25" customHeight="1">
      <c r="A44" s="340"/>
      <c r="B44" s="514" t="s">
        <v>137</v>
      </c>
      <c r="C44" s="514"/>
      <c r="D44" s="514"/>
      <c r="E44" s="514"/>
      <c r="F44" s="514"/>
      <c r="G44" s="337"/>
      <c r="I44" s="216">
        <v>596</v>
      </c>
      <c r="J44" s="216">
        <v>0</v>
      </c>
      <c r="K44" s="216">
        <f>I44+J44</f>
        <v>596</v>
      </c>
    </row>
    <row r="45" spans="1:11" s="216" customFormat="1" ht="11.25" customHeight="1">
      <c r="A45" s="340"/>
      <c r="B45" s="525" t="s">
        <v>504</v>
      </c>
      <c r="C45" s="525"/>
      <c r="D45" s="525"/>
      <c r="E45" s="525"/>
      <c r="F45" s="525"/>
      <c r="G45" s="341">
        <f>SUM(G46:G51)</f>
        <v>3</v>
      </c>
      <c r="I45" s="221">
        <f>I46+I47+I48+I49+I50+I51</f>
        <v>784</v>
      </c>
      <c r="J45" s="221">
        <f>J46+J47+J48+J49+J50+J51</f>
        <v>0</v>
      </c>
      <c r="K45" s="221">
        <f>K46+K47+K48+K49+K50+K51</f>
        <v>784</v>
      </c>
    </row>
    <row r="46" spans="1:7" s="216" customFormat="1" ht="11.25" customHeight="1" hidden="1">
      <c r="A46" s="340"/>
      <c r="B46" s="517" t="s">
        <v>505</v>
      </c>
      <c r="C46" s="518"/>
      <c r="D46" s="518"/>
      <c r="E46" s="518"/>
      <c r="F46" s="518"/>
      <c r="G46" s="337"/>
    </row>
    <row r="47" spans="1:11" s="216" customFormat="1" ht="11.25" customHeight="1">
      <c r="A47" s="340"/>
      <c r="B47" s="517" t="s">
        <v>465</v>
      </c>
      <c r="C47" s="518"/>
      <c r="D47" s="518"/>
      <c r="E47" s="518"/>
      <c r="F47" s="518"/>
      <c r="G47" s="337">
        <v>3</v>
      </c>
      <c r="I47" s="216">
        <f>148+439</f>
        <v>587</v>
      </c>
      <c r="J47" s="216">
        <v>0</v>
      </c>
      <c r="K47" s="216">
        <f>I47+J47</f>
        <v>587</v>
      </c>
    </row>
    <row r="48" spans="1:11" s="216" customFormat="1" ht="11.25" customHeight="1" hidden="1">
      <c r="A48" s="340"/>
      <c r="B48" s="517" t="s">
        <v>472</v>
      </c>
      <c r="C48" s="518"/>
      <c r="D48" s="518"/>
      <c r="E48" s="518"/>
      <c r="F48" s="518"/>
      <c r="G48" s="341"/>
      <c r="K48" s="216">
        <f>I48+J48</f>
        <v>0</v>
      </c>
    </row>
    <row r="49" spans="1:11" s="216" customFormat="1" ht="11.25" customHeight="1" hidden="1">
      <c r="A49" s="340"/>
      <c r="B49" s="517" t="s">
        <v>506</v>
      </c>
      <c r="C49" s="518"/>
      <c r="D49" s="518"/>
      <c r="E49" s="518"/>
      <c r="F49" s="518"/>
      <c r="G49" s="341"/>
      <c r="K49" s="216">
        <f>I49+J49</f>
        <v>0</v>
      </c>
    </row>
    <row r="50" spans="1:11" s="216" customFormat="1" ht="11.25" customHeight="1">
      <c r="A50" s="340"/>
      <c r="B50" s="517" t="s">
        <v>469</v>
      </c>
      <c r="C50" s="518"/>
      <c r="D50" s="518"/>
      <c r="E50" s="518"/>
      <c r="F50" s="518"/>
      <c r="G50" s="341"/>
      <c r="I50" s="216">
        <f>40+157</f>
        <v>197</v>
      </c>
      <c r="J50" s="216">
        <v>0</v>
      </c>
      <c r="K50" s="216">
        <f>I50+J50</f>
        <v>197</v>
      </c>
    </row>
    <row r="51" spans="1:7" s="216" customFormat="1" ht="11.25" customHeight="1" hidden="1">
      <c r="A51" s="340"/>
      <c r="B51" s="517" t="s">
        <v>476</v>
      </c>
      <c r="C51" s="518"/>
      <c r="D51" s="518"/>
      <c r="E51" s="518"/>
      <c r="F51" s="518"/>
      <c r="G51" s="337"/>
    </row>
    <row r="52" spans="1:11" s="216" customFormat="1" ht="11.25" customHeight="1">
      <c r="A52" s="340"/>
      <c r="B52" s="516" t="s">
        <v>277</v>
      </c>
      <c r="C52" s="516"/>
      <c r="D52" s="516"/>
      <c r="E52" s="516"/>
      <c r="F52" s="516"/>
      <c r="G52" s="341">
        <f>G43-G45</f>
        <v>-3</v>
      </c>
      <c r="I52" s="221">
        <f>I43-I45</f>
        <v>-188</v>
      </c>
      <c r="J52" s="221">
        <f>J43-J45</f>
        <v>0</v>
      </c>
      <c r="K52" s="221">
        <f>K43-K45</f>
        <v>-188</v>
      </c>
    </row>
    <row r="53" spans="1:11" s="216" customFormat="1" ht="12" customHeight="1">
      <c r="A53" s="340"/>
      <c r="B53" s="516" t="s">
        <v>279</v>
      </c>
      <c r="C53" s="516"/>
      <c r="D53" s="516"/>
      <c r="E53" s="516"/>
      <c r="F53" s="516"/>
      <c r="G53" s="341">
        <f>G54+G55+G56</f>
        <v>3</v>
      </c>
      <c r="I53" s="221">
        <f>I54+I55+I56</f>
        <v>188</v>
      </c>
      <c r="J53" s="221">
        <f>J54+J55+J56</f>
        <v>0</v>
      </c>
      <c r="K53" s="221">
        <f>K54+K55+K56</f>
        <v>188</v>
      </c>
    </row>
    <row r="54" spans="1:11" s="216" customFormat="1" ht="11.25" customHeight="1">
      <c r="A54" s="340"/>
      <c r="B54" s="515" t="s">
        <v>278</v>
      </c>
      <c r="C54" s="515"/>
      <c r="D54" s="515"/>
      <c r="E54" s="515"/>
      <c r="F54" s="515"/>
      <c r="G54" s="337">
        <v>3</v>
      </c>
      <c r="I54" s="216">
        <v>188</v>
      </c>
      <c r="K54" s="216">
        <f>I54+J54</f>
        <v>188</v>
      </c>
    </row>
    <row r="55" spans="1:7" s="216" customFormat="1" ht="0.75" customHeight="1" hidden="1">
      <c r="A55" s="340"/>
      <c r="B55" s="515" t="s">
        <v>280</v>
      </c>
      <c r="C55" s="515"/>
      <c r="D55" s="515"/>
      <c r="E55" s="515"/>
      <c r="F55" s="515"/>
      <c r="G55" s="337"/>
    </row>
    <row r="56" spans="1:7" s="216" customFormat="1" ht="11.25" customHeight="1" hidden="1">
      <c r="A56" s="340"/>
      <c r="B56" s="515" t="s">
        <v>281</v>
      </c>
      <c r="C56" s="515"/>
      <c r="D56" s="515"/>
      <c r="E56" s="515"/>
      <c r="F56" s="515"/>
      <c r="G56" s="337"/>
    </row>
    <row r="57" spans="1:7" s="216" customFormat="1" ht="11.25" customHeight="1" hidden="1">
      <c r="A57" s="340"/>
      <c r="B57" s="515" t="s">
        <v>280</v>
      </c>
      <c r="C57" s="515"/>
      <c r="D57" s="515"/>
      <c r="E57" s="515"/>
      <c r="F57" s="515"/>
      <c r="G57" s="337"/>
    </row>
    <row r="58" spans="1:7" s="216" customFormat="1" ht="11.25" customHeight="1" hidden="1">
      <c r="A58" s="340"/>
      <c r="B58" s="515" t="s">
        <v>281</v>
      </c>
      <c r="C58" s="515"/>
      <c r="D58" s="515"/>
      <c r="E58" s="515"/>
      <c r="F58" s="515"/>
      <c r="G58" s="337"/>
    </row>
    <row r="59" spans="1:7" s="216" customFormat="1" ht="11.25" customHeight="1">
      <c r="A59" s="340"/>
      <c r="B59" s="342"/>
      <c r="C59" s="342"/>
      <c r="D59" s="342"/>
      <c r="E59" s="342"/>
      <c r="F59" s="342"/>
      <c r="G59" s="337"/>
    </row>
    <row r="60" spans="1:7" s="343" customFormat="1" ht="12">
      <c r="A60" s="310" t="s">
        <v>66</v>
      </c>
      <c r="B60" s="526" t="s">
        <v>136</v>
      </c>
      <c r="C60" s="526"/>
      <c r="D60" s="526"/>
      <c r="E60" s="526"/>
      <c r="F60" s="526"/>
      <c r="G60" s="4"/>
    </row>
    <row r="61" spans="1:11" s="216" customFormat="1" ht="11.25" customHeight="1">
      <c r="A61" s="340"/>
      <c r="B61" s="525" t="s">
        <v>503</v>
      </c>
      <c r="C61" s="525"/>
      <c r="D61" s="525"/>
      <c r="E61" s="525"/>
      <c r="F61" s="525"/>
      <c r="G61" s="341">
        <f>G62</f>
        <v>0</v>
      </c>
      <c r="I61" s="221">
        <f>I62</f>
        <v>500</v>
      </c>
      <c r="J61" s="221">
        <f>J62</f>
        <v>0</v>
      </c>
      <c r="K61" s="221">
        <f>K62</f>
        <v>500</v>
      </c>
    </row>
    <row r="62" spans="1:11" s="216" customFormat="1" ht="11.25" customHeight="1">
      <c r="A62" s="340"/>
      <c r="B62" s="514" t="s">
        <v>137</v>
      </c>
      <c r="C62" s="514"/>
      <c r="D62" s="514"/>
      <c r="E62" s="514"/>
      <c r="F62" s="514"/>
      <c r="G62" s="337"/>
      <c r="I62" s="216">
        <v>500</v>
      </c>
      <c r="J62" s="216">
        <v>0</v>
      </c>
      <c r="K62" s="216">
        <f>I62+J62</f>
        <v>500</v>
      </c>
    </row>
    <row r="63" spans="1:11" s="216" customFormat="1" ht="11.25" customHeight="1">
      <c r="A63" s="340"/>
      <c r="B63" s="525" t="s">
        <v>504</v>
      </c>
      <c r="C63" s="525"/>
      <c r="D63" s="525"/>
      <c r="E63" s="525"/>
      <c r="F63" s="525"/>
      <c r="G63" s="341">
        <f>SUM(G64:G69)</f>
        <v>3</v>
      </c>
      <c r="I63" s="221">
        <f>I64+I65+I66+I67+I68+I69</f>
        <v>500</v>
      </c>
      <c r="J63" s="221">
        <f>J64+J65+J66+J67+J68+J69</f>
        <v>0</v>
      </c>
      <c r="K63" s="221">
        <f>K64+K65+K66+K67+K68+K69</f>
        <v>500</v>
      </c>
    </row>
    <row r="64" spans="1:7" s="216" customFormat="1" ht="11.25" customHeight="1" hidden="1">
      <c r="A64" s="340"/>
      <c r="B64" s="517" t="s">
        <v>505</v>
      </c>
      <c r="C64" s="518"/>
      <c r="D64" s="518"/>
      <c r="E64" s="518"/>
      <c r="F64" s="518"/>
      <c r="G64" s="337"/>
    </row>
    <row r="65" spans="1:11" s="216" customFormat="1" ht="11.25" customHeight="1">
      <c r="A65" s="340"/>
      <c r="B65" s="517" t="s">
        <v>465</v>
      </c>
      <c r="C65" s="518"/>
      <c r="D65" s="518"/>
      <c r="E65" s="518"/>
      <c r="F65" s="518"/>
      <c r="G65" s="337">
        <v>3</v>
      </c>
      <c r="I65" s="216">
        <v>500</v>
      </c>
      <c r="J65" s="216">
        <v>0</v>
      </c>
      <c r="K65" s="216">
        <f>I65+J65</f>
        <v>500</v>
      </c>
    </row>
    <row r="66" spans="1:11" s="216" customFormat="1" ht="11.25" customHeight="1" hidden="1">
      <c r="A66" s="340"/>
      <c r="B66" s="517" t="s">
        <v>472</v>
      </c>
      <c r="C66" s="518"/>
      <c r="D66" s="518"/>
      <c r="E66" s="518"/>
      <c r="F66" s="518"/>
      <c r="G66" s="341"/>
      <c r="K66" s="216">
        <f>I66+J66</f>
        <v>0</v>
      </c>
    </row>
    <row r="67" spans="1:11" s="216" customFormat="1" ht="11.25" customHeight="1" hidden="1">
      <c r="A67" s="340"/>
      <c r="B67" s="517" t="s">
        <v>506</v>
      </c>
      <c r="C67" s="518"/>
      <c r="D67" s="518"/>
      <c r="E67" s="518"/>
      <c r="F67" s="518"/>
      <c r="G67" s="341"/>
      <c r="K67" s="216">
        <f>I67+J67</f>
        <v>0</v>
      </c>
    </row>
    <row r="68" spans="1:11" s="216" customFormat="1" ht="11.25" customHeight="1" hidden="1">
      <c r="A68" s="340"/>
      <c r="B68" s="517" t="s">
        <v>469</v>
      </c>
      <c r="C68" s="518"/>
      <c r="D68" s="518"/>
      <c r="E68" s="518"/>
      <c r="F68" s="518"/>
      <c r="G68" s="341"/>
      <c r="K68" s="216">
        <f>I68+J68</f>
        <v>0</v>
      </c>
    </row>
    <row r="69" spans="1:7" s="216" customFormat="1" ht="11.25" customHeight="1" hidden="1">
      <c r="A69" s="340"/>
      <c r="B69" s="517" t="s">
        <v>476</v>
      </c>
      <c r="C69" s="518"/>
      <c r="D69" s="518"/>
      <c r="E69" s="518"/>
      <c r="F69" s="518"/>
      <c r="G69" s="337"/>
    </row>
    <row r="70" spans="1:11" s="216" customFormat="1" ht="11.25" customHeight="1">
      <c r="A70" s="340"/>
      <c r="B70" s="516" t="s">
        <v>277</v>
      </c>
      <c r="C70" s="516"/>
      <c r="D70" s="516"/>
      <c r="E70" s="516"/>
      <c r="F70" s="516"/>
      <c r="G70" s="341">
        <f>G61-G63</f>
        <v>-3</v>
      </c>
      <c r="I70" s="221">
        <f>I61-I63</f>
        <v>0</v>
      </c>
      <c r="J70" s="221">
        <f>J61-J63</f>
        <v>0</v>
      </c>
      <c r="K70" s="221">
        <f>K61-K63</f>
        <v>0</v>
      </c>
    </row>
    <row r="71" spans="1:11" s="216" customFormat="1" ht="12" customHeight="1">
      <c r="A71" s="340"/>
      <c r="B71" s="516" t="s">
        <v>279</v>
      </c>
      <c r="C71" s="516"/>
      <c r="D71" s="516"/>
      <c r="E71" s="516"/>
      <c r="F71" s="516"/>
      <c r="G71" s="341">
        <f>G72+G73+G74</f>
        <v>3</v>
      </c>
      <c r="I71" s="221">
        <f>I72+I73+I74</f>
        <v>0</v>
      </c>
      <c r="J71" s="221">
        <f>J72+J73+J74</f>
        <v>0</v>
      </c>
      <c r="K71" s="221">
        <f>K72+K73+K74</f>
        <v>0</v>
      </c>
    </row>
    <row r="72" spans="1:11" s="216" customFormat="1" ht="11.25" customHeight="1" hidden="1">
      <c r="A72" s="340"/>
      <c r="B72" s="515" t="s">
        <v>278</v>
      </c>
      <c r="C72" s="515"/>
      <c r="D72" s="515"/>
      <c r="E72" s="515"/>
      <c r="F72" s="515"/>
      <c r="G72" s="337">
        <v>3</v>
      </c>
      <c r="K72" s="216">
        <f>I72+J72</f>
        <v>0</v>
      </c>
    </row>
    <row r="73" spans="1:7" s="216" customFormat="1" ht="11.25" customHeight="1" hidden="1">
      <c r="A73" s="340"/>
      <c r="B73" s="515" t="s">
        <v>280</v>
      </c>
      <c r="C73" s="515"/>
      <c r="D73" s="515"/>
      <c r="E73" s="515"/>
      <c r="F73" s="515"/>
      <c r="G73" s="337"/>
    </row>
    <row r="74" spans="1:7" s="216" customFormat="1" ht="11.25" customHeight="1" hidden="1">
      <c r="A74" s="340"/>
      <c r="B74" s="515" t="s">
        <v>281</v>
      </c>
      <c r="C74" s="515"/>
      <c r="D74" s="515"/>
      <c r="E74" s="515"/>
      <c r="F74" s="515"/>
      <c r="G74" s="337"/>
    </row>
    <row r="75" spans="1:7" s="216" customFormat="1" ht="11.25" customHeight="1" hidden="1">
      <c r="A75" s="340"/>
      <c r="B75" s="515" t="s">
        <v>280</v>
      </c>
      <c r="C75" s="515"/>
      <c r="D75" s="515"/>
      <c r="E75" s="515"/>
      <c r="F75" s="515"/>
      <c r="G75" s="337"/>
    </row>
    <row r="76" spans="1:7" s="216" customFormat="1" ht="11.25" customHeight="1" hidden="1">
      <c r="A76" s="340"/>
      <c r="B76" s="515" t="s">
        <v>281</v>
      </c>
      <c r="C76" s="515"/>
      <c r="D76" s="515"/>
      <c r="E76" s="515"/>
      <c r="F76" s="515"/>
      <c r="G76" s="337"/>
    </row>
    <row r="77" spans="1:7" s="216" customFormat="1" ht="11.25" customHeight="1">
      <c r="A77" s="340"/>
      <c r="B77" s="342"/>
      <c r="C77" s="342"/>
      <c r="D77" s="342"/>
      <c r="E77" s="342"/>
      <c r="F77" s="342"/>
      <c r="G77" s="337"/>
    </row>
    <row r="78" spans="1:7" s="343" customFormat="1" ht="12">
      <c r="A78" s="310" t="s">
        <v>108</v>
      </c>
      <c r="B78" s="526" t="s">
        <v>206</v>
      </c>
      <c r="C78" s="526"/>
      <c r="D78" s="526"/>
      <c r="E78" s="526"/>
      <c r="F78" s="526"/>
      <c r="G78" s="4"/>
    </row>
    <row r="79" spans="1:11" s="216" customFormat="1" ht="11.25" customHeight="1">
      <c r="A79" s="340"/>
      <c r="B79" s="525" t="s">
        <v>503</v>
      </c>
      <c r="C79" s="525"/>
      <c r="D79" s="525"/>
      <c r="E79" s="525"/>
      <c r="F79" s="525"/>
      <c r="G79" s="341">
        <f>G80</f>
        <v>0</v>
      </c>
      <c r="I79" s="357">
        <f>I80</f>
        <v>4850</v>
      </c>
      <c r="J79" s="357">
        <f>J80</f>
        <v>0</v>
      </c>
      <c r="K79" s="357">
        <f>K80</f>
        <v>4850</v>
      </c>
    </row>
    <row r="80" spans="1:11" s="216" customFormat="1" ht="11.25" customHeight="1">
      <c r="A80" s="340"/>
      <c r="B80" s="514" t="s">
        <v>137</v>
      </c>
      <c r="C80" s="514"/>
      <c r="D80" s="514"/>
      <c r="E80" s="514"/>
      <c r="F80" s="514"/>
      <c r="G80" s="337"/>
      <c r="I80" s="358">
        <v>4850</v>
      </c>
      <c r="J80" s="358">
        <v>0</v>
      </c>
      <c r="K80" s="358">
        <f>I80+J80</f>
        <v>4850</v>
      </c>
    </row>
    <row r="81" spans="1:11" s="216" customFormat="1" ht="11.25" customHeight="1">
      <c r="A81" s="340"/>
      <c r="B81" s="525" t="s">
        <v>504</v>
      </c>
      <c r="C81" s="525"/>
      <c r="D81" s="525"/>
      <c r="E81" s="525"/>
      <c r="F81" s="525"/>
      <c r="G81" s="341">
        <f>SUM(G82:G87)</f>
        <v>3</v>
      </c>
      <c r="I81" s="357">
        <f>I82+I83+I84+I85+I86+I87</f>
        <v>4850</v>
      </c>
      <c r="J81" s="357">
        <f>J82+J83+J84+J85+J86+J87</f>
        <v>0</v>
      </c>
      <c r="K81" s="357">
        <f>K82+K83+K84+K85+K86+K87</f>
        <v>4850</v>
      </c>
    </row>
    <row r="82" spans="1:11" s="216" customFormat="1" ht="11.25" customHeight="1" hidden="1">
      <c r="A82" s="340"/>
      <c r="B82" s="517" t="s">
        <v>505</v>
      </c>
      <c r="C82" s="518"/>
      <c r="D82" s="518"/>
      <c r="E82" s="518"/>
      <c r="F82" s="518"/>
      <c r="G82" s="337"/>
      <c r="I82" s="358"/>
      <c r="J82" s="358"/>
      <c r="K82" s="358"/>
    </row>
    <row r="83" spans="1:11" s="216" customFormat="1" ht="11.25" customHeight="1">
      <c r="A83" s="340"/>
      <c r="B83" s="517" t="s">
        <v>465</v>
      </c>
      <c r="C83" s="518"/>
      <c r="D83" s="518"/>
      <c r="E83" s="518"/>
      <c r="F83" s="518"/>
      <c r="G83" s="337">
        <v>3</v>
      </c>
      <c r="I83" s="358">
        <v>4850</v>
      </c>
      <c r="J83" s="358">
        <v>0</v>
      </c>
      <c r="K83" s="358">
        <f>I83+J83</f>
        <v>4850</v>
      </c>
    </row>
    <row r="84" spans="1:11" s="216" customFormat="1" ht="11.25" customHeight="1" hidden="1">
      <c r="A84" s="340"/>
      <c r="B84" s="517" t="s">
        <v>472</v>
      </c>
      <c r="C84" s="518"/>
      <c r="D84" s="518"/>
      <c r="E84" s="518"/>
      <c r="F84" s="518"/>
      <c r="G84" s="341"/>
      <c r="K84" s="216">
        <f>I84+J84</f>
        <v>0</v>
      </c>
    </row>
    <row r="85" spans="1:11" s="216" customFormat="1" ht="11.25" customHeight="1" hidden="1">
      <c r="A85" s="340"/>
      <c r="B85" s="517" t="s">
        <v>506</v>
      </c>
      <c r="C85" s="518"/>
      <c r="D85" s="518"/>
      <c r="E85" s="518"/>
      <c r="F85" s="518"/>
      <c r="G85" s="341"/>
      <c r="K85" s="216">
        <f>I85+J85</f>
        <v>0</v>
      </c>
    </row>
    <row r="86" spans="1:11" s="216" customFormat="1" ht="11.25" customHeight="1" hidden="1">
      <c r="A86" s="340"/>
      <c r="B86" s="517" t="s">
        <v>469</v>
      </c>
      <c r="C86" s="518"/>
      <c r="D86" s="518"/>
      <c r="E86" s="518"/>
      <c r="F86" s="518"/>
      <c r="G86" s="341"/>
      <c r="K86" s="216">
        <f>I86+J86</f>
        <v>0</v>
      </c>
    </row>
    <row r="87" spans="1:7" s="216" customFormat="1" ht="11.25" customHeight="1" hidden="1">
      <c r="A87" s="340"/>
      <c r="B87" s="517" t="s">
        <v>476</v>
      </c>
      <c r="C87" s="518"/>
      <c r="D87" s="518"/>
      <c r="E87" s="518"/>
      <c r="F87" s="518"/>
      <c r="G87" s="337"/>
    </row>
    <row r="88" spans="1:11" s="216" customFormat="1" ht="11.25" customHeight="1">
      <c r="A88" s="340"/>
      <c r="B88" s="516" t="s">
        <v>277</v>
      </c>
      <c r="C88" s="516"/>
      <c r="D88" s="516"/>
      <c r="E88" s="516"/>
      <c r="F88" s="516"/>
      <c r="G88" s="341">
        <f>G79-G81</f>
        <v>-3</v>
      </c>
      <c r="I88" s="221">
        <f>I79-I81</f>
        <v>0</v>
      </c>
      <c r="J88" s="221">
        <f>J79-J81</f>
        <v>0</v>
      </c>
      <c r="K88" s="221">
        <f>K79-K81</f>
        <v>0</v>
      </c>
    </row>
    <row r="89" spans="1:11" s="216" customFormat="1" ht="12" customHeight="1">
      <c r="A89" s="340"/>
      <c r="B89" s="516" t="s">
        <v>279</v>
      </c>
      <c r="C89" s="516"/>
      <c r="D89" s="516"/>
      <c r="E89" s="516"/>
      <c r="F89" s="516"/>
      <c r="G89" s="341">
        <f>G90+G91+G92</f>
        <v>3</v>
      </c>
      <c r="I89" s="221">
        <f>I90+I91+I92</f>
        <v>0</v>
      </c>
      <c r="J89" s="221">
        <f>J90+J91+J92</f>
        <v>0</v>
      </c>
      <c r="K89" s="221">
        <f>K90+K91+K92</f>
        <v>0</v>
      </c>
    </row>
    <row r="90" spans="1:7" s="216" customFormat="1" ht="11.25" customHeight="1" hidden="1">
      <c r="A90" s="340"/>
      <c r="B90" s="515" t="s">
        <v>278</v>
      </c>
      <c r="C90" s="515"/>
      <c r="D90" s="515"/>
      <c r="E90" s="515"/>
      <c r="F90" s="515"/>
      <c r="G90" s="337">
        <v>3</v>
      </c>
    </row>
    <row r="91" spans="1:7" s="216" customFormat="1" ht="11.25" customHeight="1" hidden="1">
      <c r="A91" s="340"/>
      <c r="B91" s="515" t="s">
        <v>280</v>
      </c>
      <c r="C91" s="515"/>
      <c r="D91" s="515"/>
      <c r="E91" s="515"/>
      <c r="F91" s="515"/>
      <c r="G91" s="337"/>
    </row>
    <row r="92" spans="1:7" s="216" customFormat="1" ht="11.25" customHeight="1" hidden="1">
      <c r="A92" s="340"/>
      <c r="B92" s="515" t="s">
        <v>281</v>
      </c>
      <c r="C92" s="515"/>
      <c r="D92" s="515"/>
      <c r="E92" s="515"/>
      <c r="F92" s="515"/>
      <c r="G92" s="337"/>
    </row>
    <row r="93" spans="1:7" s="216" customFormat="1" ht="11.25" customHeight="1" hidden="1">
      <c r="A93" s="340"/>
      <c r="B93" s="515" t="s">
        <v>280</v>
      </c>
      <c r="C93" s="515"/>
      <c r="D93" s="515"/>
      <c r="E93" s="515"/>
      <c r="F93" s="515"/>
      <c r="G93" s="337"/>
    </row>
    <row r="94" spans="1:7" s="216" customFormat="1" ht="11.25" customHeight="1" hidden="1">
      <c r="A94" s="340"/>
      <c r="B94" s="515" t="s">
        <v>281</v>
      </c>
      <c r="C94" s="515"/>
      <c r="D94" s="515"/>
      <c r="E94" s="515"/>
      <c r="F94" s="515"/>
      <c r="G94" s="337"/>
    </row>
    <row r="95" spans="1:7" s="216" customFormat="1" ht="11.25" customHeight="1">
      <c r="A95" s="340"/>
      <c r="B95" s="342"/>
      <c r="C95" s="342"/>
      <c r="D95" s="342"/>
      <c r="E95" s="342"/>
      <c r="F95" s="342"/>
      <c r="G95" s="337"/>
    </row>
    <row r="96" spans="1:7" s="343" customFormat="1" ht="12">
      <c r="A96" s="310" t="s">
        <v>538</v>
      </c>
      <c r="B96" s="526" t="s">
        <v>191</v>
      </c>
      <c r="C96" s="526"/>
      <c r="D96" s="526"/>
      <c r="E96" s="526"/>
      <c r="F96" s="526"/>
      <c r="G96" s="4"/>
    </row>
    <row r="97" spans="1:11" s="216" customFormat="1" ht="11.25" customHeight="1">
      <c r="A97" s="340"/>
      <c r="B97" s="525" t="s">
        <v>503</v>
      </c>
      <c r="C97" s="525"/>
      <c r="D97" s="525"/>
      <c r="E97" s="525"/>
      <c r="F97" s="525"/>
      <c r="G97" s="341">
        <f>G98</f>
        <v>0</v>
      </c>
      <c r="I97" s="221">
        <f>I98</f>
        <v>20</v>
      </c>
      <c r="J97" s="221">
        <f>J98</f>
        <v>0</v>
      </c>
      <c r="K97" s="221">
        <f>K98</f>
        <v>20</v>
      </c>
    </row>
    <row r="98" spans="1:11" s="216" customFormat="1" ht="11.25" customHeight="1">
      <c r="A98" s="340"/>
      <c r="B98" s="514" t="s">
        <v>137</v>
      </c>
      <c r="C98" s="514"/>
      <c r="D98" s="514"/>
      <c r="E98" s="514"/>
      <c r="F98" s="514"/>
      <c r="G98" s="337"/>
      <c r="I98" s="216">
        <v>20</v>
      </c>
      <c r="J98" s="216">
        <v>0</v>
      </c>
      <c r="K98" s="216">
        <f>I98+J98</f>
        <v>20</v>
      </c>
    </row>
    <row r="99" spans="1:11" s="216" customFormat="1" ht="11.25" customHeight="1">
      <c r="A99" s="340"/>
      <c r="B99" s="525" t="s">
        <v>504</v>
      </c>
      <c r="C99" s="525"/>
      <c r="D99" s="525"/>
      <c r="E99" s="525"/>
      <c r="F99" s="525"/>
      <c r="G99" s="341">
        <f>SUM(G100:G105)</f>
        <v>3</v>
      </c>
      <c r="I99" s="221">
        <f>I100+I101+I102+I103+I104+I105</f>
        <v>20</v>
      </c>
      <c r="J99" s="221">
        <f>J100+J101+J102+J103+J104+J105</f>
        <v>0</v>
      </c>
      <c r="K99" s="221">
        <f>K100+K101+K102+K103+K104+K105</f>
        <v>20</v>
      </c>
    </row>
    <row r="100" spans="1:7" s="216" customFormat="1" ht="11.25" customHeight="1" hidden="1">
      <c r="A100" s="340"/>
      <c r="B100" s="517" t="s">
        <v>505</v>
      </c>
      <c r="C100" s="518"/>
      <c r="D100" s="518"/>
      <c r="E100" s="518"/>
      <c r="F100" s="518"/>
      <c r="G100" s="337"/>
    </row>
    <row r="101" spans="1:11" s="216" customFormat="1" ht="11.25" customHeight="1">
      <c r="A101" s="340"/>
      <c r="B101" s="517" t="s">
        <v>465</v>
      </c>
      <c r="C101" s="518"/>
      <c r="D101" s="518"/>
      <c r="E101" s="518"/>
      <c r="F101" s="518"/>
      <c r="G101" s="337">
        <v>3</v>
      </c>
      <c r="I101" s="216">
        <v>20</v>
      </c>
      <c r="J101" s="216">
        <v>0</v>
      </c>
      <c r="K101" s="216">
        <f>I101+J101</f>
        <v>20</v>
      </c>
    </row>
    <row r="102" spans="1:11" s="216" customFormat="1" ht="11.25" customHeight="1" hidden="1">
      <c r="A102" s="340"/>
      <c r="B102" s="517" t="s">
        <v>472</v>
      </c>
      <c r="C102" s="518"/>
      <c r="D102" s="518"/>
      <c r="E102" s="518"/>
      <c r="F102" s="518"/>
      <c r="G102" s="341"/>
      <c r="K102" s="216">
        <f>I102+J102</f>
        <v>0</v>
      </c>
    </row>
    <row r="103" spans="1:11" s="216" customFormat="1" ht="11.25" customHeight="1" hidden="1">
      <c r="A103" s="340"/>
      <c r="B103" s="517" t="s">
        <v>506</v>
      </c>
      <c r="C103" s="518"/>
      <c r="D103" s="518"/>
      <c r="E103" s="518"/>
      <c r="F103" s="518"/>
      <c r="G103" s="341"/>
      <c r="K103" s="216">
        <f>I103+J103</f>
        <v>0</v>
      </c>
    </row>
    <row r="104" spans="1:11" s="216" customFormat="1" ht="11.25" customHeight="1" hidden="1">
      <c r="A104" s="340"/>
      <c r="B104" s="517" t="s">
        <v>469</v>
      </c>
      <c r="C104" s="518"/>
      <c r="D104" s="518"/>
      <c r="E104" s="518"/>
      <c r="F104" s="518"/>
      <c r="G104" s="341"/>
      <c r="K104" s="216">
        <f>I104+J104</f>
        <v>0</v>
      </c>
    </row>
    <row r="105" spans="1:7" s="216" customFormat="1" ht="11.25" customHeight="1" hidden="1">
      <c r="A105" s="340"/>
      <c r="B105" s="517" t="s">
        <v>476</v>
      </c>
      <c r="C105" s="518"/>
      <c r="D105" s="518"/>
      <c r="E105" s="518"/>
      <c r="F105" s="518"/>
      <c r="G105" s="337"/>
    </row>
    <row r="106" spans="1:11" s="216" customFormat="1" ht="11.25" customHeight="1">
      <c r="A106" s="340"/>
      <c r="B106" s="516" t="s">
        <v>277</v>
      </c>
      <c r="C106" s="516"/>
      <c r="D106" s="516"/>
      <c r="E106" s="516"/>
      <c r="F106" s="516"/>
      <c r="G106" s="341">
        <f>G97-G99</f>
        <v>-3</v>
      </c>
      <c r="I106" s="221">
        <f>I97-I99</f>
        <v>0</v>
      </c>
      <c r="J106" s="221">
        <f>J97-J99</f>
        <v>0</v>
      </c>
      <c r="K106" s="221">
        <f>K97-K99</f>
        <v>0</v>
      </c>
    </row>
    <row r="107" spans="1:11" s="216" customFormat="1" ht="12" customHeight="1" hidden="1">
      <c r="A107" s="340"/>
      <c r="B107" s="516" t="s">
        <v>279</v>
      </c>
      <c r="C107" s="516"/>
      <c r="D107" s="516"/>
      <c r="E107" s="516"/>
      <c r="F107" s="516"/>
      <c r="G107" s="341">
        <f>G108+G109+G110</f>
        <v>3</v>
      </c>
      <c r="I107" s="221">
        <f>I108+I109+I110</f>
        <v>0</v>
      </c>
      <c r="J107" s="221">
        <f>J108+J109+J110</f>
        <v>0</v>
      </c>
      <c r="K107" s="221">
        <f>K108+K109+K110</f>
        <v>0</v>
      </c>
    </row>
    <row r="108" spans="1:7" s="216" customFormat="1" ht="9.75" customHeight="1" hidden="1">
      <c r="A108" s="340"/>
      <c r="B108" s="515" t="s">
        <v>278</v>
      </c>
      <c r="C108" s="515"/>
      <c r="D108" s="515"/>
      <c r="E108" s="515"/>
      <c r="F108" s="515"/>
      <c r="G108" s="337">
        <v>3</v>
      </c>
    </row>
    <row r="109" spans="1:7" s="216" customFormat="1" ht="9.75" customHeight="1" hidden="1">
      <c r="A109" s="340"/>
      <c r="B109" s="515" t="s">
        <v>280</v>
      </c>
      <c r="C109" s="515"/>
      <c r="D109" s="515"/>
      <c r="E109" s="515"/>
      <c r="F109" s="515"/>
      <c r="G109" s="337"/>
    </row>
    <row r="110" spans="1:7" s="216" customFormat="1" ht="9.75" customHeight="1" hidden="1">
      <c r="A110" s="340"/>
      <c r="B110" s="515" t="s">
        <v>281</v>
      </c>
      <c r="C110" s="515"/>
      <c r="D110" s="515"/>
      <c r="E110" s="515"/>
      <c r="F110" s="515"/>
      <c r="G110" s="337"/>
    </row>
    <row r="111" spans="1:7" s="216" customFormat="1" ht="9.75" customHeight="1" hidden="1">
      <c r="A111" s="340"/>
      <c r="B111" s="342"/>
      <c r="C111" s="342"/>
      <c r="D111" s="342"/>
      <c r="E111" s="342"/>
      <c r="F111" s="342"/>
      <c r="G111" s="337"/>
    </row>
    <row r="112" spans="1:7" s="216" customFormat="1" ht="11.25" customHeight="1" hidden="1">
      <c r="A112" s="340"/>
      <c r="B112" s="515" t="s">
        <v>280</v>
      </c>
      <c r="C112" s="515"/>
      <c r="D112" s="515"/>
      <c r="E112" s="515"/>
      <c r="F112" s="515"/>
      <c r="G112" s="337"/>
    </row>
    <row r="113" spans="1:7" s="216" customFormat="1" ht="11.25" customHeight="1" hidden="1">
      <c r="A113" s="340"/>
      <c r="B113" s="515" t="s">
        <v>281</v>
      </c>
      <c r="C113" s="515"/>
      <c r="D113" s="515"/>
      <c r="E113" s="515"/>
      <c r="F113" s="515"/>
      <c r="G113" s="337"/>
    </row>
    <row r="114" spans="1:7" s="216" customFormat="1" ht="11.25" customHeight="1">
      <c r="A114" s="340"/>
      <c r="B114" s="342"/>
      <c r="C114" s="342"/>
      <c r="D114" s="342"/>
      <c r="E114" s="342"/>
      <c r="F114" s="342"/>
      <c r="G114" s="337"/>
    </row>
    <row r="115" spans="1:7" s="216" customFormat="1" ht="11.25" customHeight="1">
      <c r="A115" s="340"/>
      <c r="B115" s="342"/>
      <c r="C115" s="342"/>
      <c r="D115" s="342"/>
      <c r="E115" s="342"/>
      <c r="F115" s="342"/>
      <c r="G115" s="337"/>
    </row>
    <row r="116" spans="1:7" s="216" customFormat="1" ht="11.25" customHeight="1">
      <c r="A116" s="340"/>
      <c r="B116" s="342"/>
      <c r="C116" s="342"/>
      <c r="D116" s="342"/>
      <c r="E116" s="342"/>
      <c r="F116" s="342"/>
      <c r="G116" s="337"/>
    </row>
    <row r="117" spans="1:7" s="216" customFormat="1" ht="33.75" customHeight="1">
      <c r="A117" s="340"/>
      <c r="B117" s="342"/>
      <c r="C117" s="342"/>
      <c r="D117" s="342"/>
      <c r="E117" s="342"/>
      <c r="F117" s="342"/>
      <c r="G117" s="337"/>
    </row>
    <row r="118" spans="1:7" s="216" customFormat="1" ht="11.25" customHeight="1">
      <c r="A118" s="340"/>
      <c r="B118" s="342"/>
      <c r="C118" s="342"/>
      <c r="D118" s="342"/>
      <c r="E118" s="342"/>
      <c r="F118" s="342"/>
      <c r="G118" s="337"/>
    </row>
    <row r="119" spans="1:7" s="348" customFormat="1" ht="12.75">
      <c r="A119" s="384"/>
      <c r="B119" s="347"/>
      <c r="C119" s="347"/>
      <c r="D119" s="347"/>
      <c r="E119" s="350">
        <v>2</v>
      </c>
      <c r="F119" s="347"/>
      <c r="G119" s="349"/>
    </row>
    <row r="120" spans="1:11" s="215" customFormat="1" ht="37.5" customHeight="1">
      <c r="A120" s="330" t="s">
        <v>34</v>
      </c>
      <c r="B120" s="520" t="s">
        <v>35</v>
      </c>
      <c r="C120" s="521"/>
      <c r="D120" s="521"/>
      <c r="E120" s="521"/>
      <c r="F120" s="521"/>
      <c r="G120" s="522"/>
      <c r="H120" s="331"/>
      <c r="I120" s="332" t="s">
        <v>605</v>
      </c>
      <c r="J120" s="385" t="s">
        <v>186</v>
      </c>
      <c r="K120" s="401" t="s">
        <v>603</v>
      </c>
    </row>
    <row r="121" spans="1:7" s="216" customFormat="1" ht="11.25" customHeight="1">
      <c r="A121" s="340"/>
      <c r="B121" s="342"/>
      <c r="C121" s="342"/>
      <c r="D121" s="342"/>
      <c r="E121" s="342"/>
      <c r="F121" s="342"/>
      <c r="G121" s="337"/>
    </row>
    <row r="122" spans="1:7" s="346" customFormat="1" ht="12">
      <c r="A122" s="344" t="s">
        <v>118</v>
      </c>
      <c r="B122" s="526" t="s">
        <v>539</v>
      </c>
      <c r="C122" s="526"/>
      <c r="D122" s="526"/>
      <c r="E122" s="526"/>
      <c r="F122" s="345"/>
      <c r="G122" s="4"/>
    </row>
    <row r="123" spans="1:7" s="216" customFormat="1" ht="11.25" customHeight="1" hidden="1">
      <c r="A123" s="340"/>
      <c r="B123" s="525" t="s">
        <v>503</v>
      </c>
      <c r="C123" s="525"/>
      <c r="D123" s="525"/>
      <c r="E123" s="525"/>
      <c r="F123" s="525"/>
      <c r="G123" s="341">
        <f>G124</f>
        <v>0</v>
      </c>
    </row>
    <row r="124" spans="1:7" s="216" customFormat="1" ht="11.25" customHeight="1" hidden="1">
      <c r="A124" s="340"/>
      <c r="B124" s="514" t="s">
        <v>137</v>
      </c>
      <c r="C124" s="514"/>
      <c r="D124" s="514"/>
      <c r="E124" s="514"/>
      <c r="F124" s="514"/>
      <c r="G124" s="337"/>
    </row>
    <row r="125" spans="1:11" s="216" customFormat="1" ht="11.25" customHeight="1">
      <c r="A125" s="340"/>
      <c r="B125" s="525" t="s">
        <v>504</v>
      </c>
      <c r="C125" s="525"/>
      <c r="D125" s="525"/>
      <c r="E125" s="525"/>
      <c r="F125" s="525"/>
      <c r="G125" s="341">
        <f>SUM(G126:G131)</f>
        <v>3</v>
      </c>
      <c r="I125" s="221">
        <f>I126+I127+I128+I129+I130+I131</f>
        <v>408</v>
      </c>
      <c r="J125" s="221">
        <f>J126+J127+J128+J129+J130+J131</f>
        <v>0</v>
      </c>
      <c r="K125" s="221">
        <f>K126+K127+K128+K129+K130+K131</f>
        <v>408</v>
      </c>
    </row>
    <row r="126" spans="1:7" s="216" customFormat="1" ht="11.25" customHeight="1" hidden="1">
      <c r="A126" s="340"/>
      <c r="B126" s="517" t="s">
        <v>505</v>
      </c>
      <c r="C126" s="518"/>
      <c r="D126" s="518"/>
      <c r="E126" s="518"/>
      <c r="F126" s="518"/>
      <c r="G126" s="337"/>
    </row>
    <row r="127" spans="1:7" s="216" customFormat="1" ht="11.25" customHeight="1" hidden="1">
      <c r="A127" s="340"/>
      <c r="B127" s="517" t="s">
        <v>465</v>
      </c>
      <c r="C127" s="518"/>
      <c r="D127" s="518"/>
      <c r="E127" s="518"/>
      <c r="F127" s="518"/>
      <c r="G127" s="337">
        <v>3</v>
      </c>
    </row>
    <row r="128" spans="1:11" s="216" customFormat="1" ht="11.25" customHeight="1">
      <c r="A128" s="340"/>
      <c r="B128" s="517" t="s">
        <v>472</v>
      </c>
      <c r="C128" s="518"/>
      <c r="D128" s="518"/>
      <c r="E128" s="518"/>
      <c r="F128" s="518"/>
      <c r="G128" s="341"/>
      <c r="I128" s="216">
        <v>408</v>
      </c>
      <c r="K128" s="216">
        <f>I128+J128</f>
        <v>408</v>
      </c>
    </row>
    <row r="129" spans="1:7" s="216" customFormat="1" ht="11.25" customHeight="1" hidden="1">
      <c r="A129" s="340"/>
      <c r="B129" s="517" t="s">
        <v>506</v>
      </c>
      <c r="C129" s="518"/>
      <c r="D129" s="518"/>
      <c r="E129" s="518"/>
      <c r="F129" s="518"/>
      <c r="G129" s="341"/>
    </row>
    <row r="130" spans="1:7" s="216" customFormat="1" ht="11.25" customHeight="1" hidden="1">
      <c r="A130" s="340"/>
      <c r="B130" s="517" t="s">
        <v>469</v>
      </c>
      <c r="C130" s="518"/>
      <c r="D130" s="518"/>
      <c r="E130" s="518"/>
      <c r="F130" s="518"/>
      <c r="G130" s="341"/>
    </row>
    <row r="131" spans="1:7" s="216" customFormat="1" ht="11.25" customHeight="1" hidden="1">
      <c r="A131" s="340"/>
      <c r="B131" s="517" t="s">
        <v>476</v>
      </c>
      <c r="C131" s="518"/>
      <c r="D131" s="518"/>
      <c r="E131" s="518"/>
      <c r="F131" s="518"/>
      <c r="G131" s="337"/>
    </row>
    <row r="132" spans="1:11" s="216" customFormat="1" ht="11.25" customHeight="1">
      <c r="A132" s="340"/>
      <c r="B132" s="516" t="s">
        <v>277</v>
      </c>
      <c r="C132" s="516"/>
      <c r="D132" s="516"/>
      <c r="E132" s="516"/>
      <c r="F132" s="516"/>
      <c r="G132" s="341">
        <f>G123-G125</f>
        <v>-3</v>
      </c>
      <c r="I132" s="221">
        <f>I123-I125</f>
        <v>-408</v>
      </c>
      <c r="J132" s="221">
        <f>J123-J125</f>
        <v>0</v>
      </c>
      <c r="K132" s="221">
        <f>K123-K125</f>
        <v>-408</v>
      </c>
    </row>
    <row r="133" spans="1:11" s="216" customFormat="1" ht="12" customHeight="1">
      <c r="A133" s="340"/>
      <c r="B133" s="516" t="s">
        <v>279</v>
      </c>
      <c r="C133" s="516"/>
      <c r="D133" s="516"/>
      <c r="E133" s="516"/>
      <c r="F133" s="516"/>
      <c r="G133" s="341">
        <f>G134+G135+G136</f>
        <v>3</v>
      </c>
      <c r="I133" s="221">
        <f>I134+I135+I136</f>
        <v>408</v>
      </c>
      <c r="J133" s="221">
        <f>J134+J135+J136</f>
        <v>0</v>
      </c>
      <c r="K133" s="221">
        <f>K134+K135+K136</f>
        <v>408</v>
      </c>
    </row>
    <row r="134" spans="1:11" s="216" customFormat="1" ht="12" customHeight="1">
      <c r="A134" s="340"/>
      <c r="B134" s="515" t="s">
        <v>278</v>
      </c>
      <c r="C134" s="515"/>
      <c r="D134" s="515"/>
      <c r="E134" s="515"/>
      <c r="F134" s="515"/>
      <c r="G134" s="337">
        <v>3</v>
      </c>
      <c r="I134" s="216">
        <v>408</v>
      </c>
      <c r="K134" s="216">
        <f>I134+J134</f>
        <v>408</v>
      </c>
    </row>
    <row r="135" spans="1:7" s="216" customFormat="1" ht="0.75" customHeight="1" hidden="1">
      <c r="A135" s="340"/>
      <c r="B135" s="515" t="s">
        <v>280</v>
      </c>
      <c r="C135" s="515"/>
      <c r="D135" s="515"/>
      <c r="E135" s="515"/>
      <c r="F135" s="515"/>
      <c r="G135" s="337"/>
    </row>
    <row r="136" spans="1:7" s="216" customFormat="1" ht="11.25" customHeight="1" hidden="1">
      <c r="A136" s="340"/>
      <c r="B136" s="515" t="s">
        <v>281</v>
      </c>
      <c r="C136" s="515"/>
      <c r="D136" s="515"/>
      <c r="E136" s="515"/>
      <c r="F136" s="515"/>
      <c r="G136" s="337"/>
    </row>
    <row r="137" spans="1:9" s="215" customFormat="1" ht="8.25" customHeight="1">
      <c r="A137" s="351"/>
      <c r="B137" s="351"/>
      <c r="C137" s="351"/>
      <c r="D137" s="351"/>
      <c r="E137" s="351"/>
      <c r="F137" s="351"/>
      <c r="G137" s="351"/>
      <c r="H137" s="352"/>
      <c r="I137" s="353"/>
    </row>
    <row r="138" spans="1:7" s="356" customFormat="1" ht="12.75" customHeight="1">
      <c r="A138" s="310" t="s">
        <v>74</v>
      </c>
      <c r="B138" s="354" t="s">
        <v>45</v>
      </c>
      <c r="C138" s="354"/>
      <c r="D138" s="354"/>
      <c r="E138" s="345"/>
      <c r="F138" s="4"/>
      <c r="G138" s="355"/>
    </row>
    <row r="139" spans="1:11" s="216" customFormat="1" ht="12.75" customHeight="1">
      <c r="A139" s="340"/>
      <c r="B139" s="525" t="s">
        <v>503</v>
      </c>
      <c r="C139" s="525"/>
      <c r="D139" s="525"/>
      <c r="E139" s="525"/>
      <c r="F139" s="525"/>
      <c r="G139" s="341">
        <f>G140</f>
        <v>0</v>
      </c>
      <c r="I139" s="357">
        <f>I140</f>
        <v>1376</v>
      </c>
      <c r="J139" s="357">
        <f>J140</f>
        <v>2269</v>
      </c>
      <c r="K139" s="357">
        <f>K140</f>
        <v>3645</v>
      </c>
    </row>
    <row r="140" spans="1:11" s="216" customFormat="1" ht="12.75" customHeight="1">
      <c r="A140" s="340"/>
      <c r="B140" s="514" t="s">
        <v>137</v>
      </c>
      <c r="C140" s="514"/>
      <c r="D140" s="514"/>
      <c r="E140" s="514"/>
      <c r="F140" s="514"/>
      <c r="G140" s="337"/>
      <c r="I140" s="358">
        <f>120+500+756</f>
        <v>1376</v>
      </c>
      <c r="J140" s="358">
        <v>2269</v>
      </c>
      <c r="K140" s="358">
        <f>I140+J140</f>
        <v>3645</v>
      </c>
    </row>
    <row r="141" spans="1:11" s="216" customFormat="1" ht="12.75" customHeight="1">
      <c r="A141" s="340"/>
      <c r="B141" s="525" t="s">
        <v>504</v>
      </c>
      <c r="C141" s="525"/>
      <c r="D141" s="525"/>
      <c r="E141" s="525"/>
      <c r="F141" s="525"/>
      <c r="G141" s="341">
        <f>SUM(G142:G147)</f>
        <v>3</v>
      </c>
      <c r="I141" s="357">
        <f>I142+I143+I144+I145+I146+I147</f>
        <v>2813</v>
      </c>
      <c r="J141" s="357">
        <f>J142+J143+J144+J145+J146+J147</f>
        <v>2269</v>
      </c>
      <c r="K141" s="357">
        <f>K142+K143+K144+K145+K146+K147</f>
        <v>5082</v>
      </c>
    </row>
    <row r="142" spans="1:9" s="216" customFormat="1" ht="12.75" customHeight="1" hidden="1">
      <c r="A142" s="340"/>
      <c r="B142" s="517" t="s">
        <v>505</v>
      </c>
      <c r="C142" s="518"/>
      <c r="D142" s="518"/>
      <c r="E142" s="518"/>
      <c r="F142" s="518"/>
      <c r="G142" s="337"/>
      <c r="I142" s="358"/>
    </row>
    <row r="143" spans="1:11" s="216" customFormat="1" ht="11.25" customHeight="1">
      <c r="A143" s="340"/>
      <c r="B143" s="517" t="s">
        <v>465</v>
      </c>
      <c r="C143" s="518"/>
      <c r="D143" s="518"/>
      <c r="E143" s="518"/>
      <c r="F143" s="518"/>
      <c r="G143" s="337">
        <v>3</v>
      </c>
      <c r="I143" s="358">
        <f>4+305+748+500+6</f>
        <v>1563</v>
      </c>
      <c r="J143" s="216">
        <v>1329</v>
      </c>
      <c r="K143" s="358">
        <f>I143+J143</f>
        <v>2892</v>
      </c>
    </row>
    <row r="144" spans="1:9" s="216" customFormat="1" ht="10.5" customHeight="1" hidden="1">
      <c r="A144" s="340"/>
      <c r="B144" s="517" t="s">
        <v>472</v>
      </c>
      <c r="C144" s="518"/>
      <c r="D144" s="518"/>
      <c r="E144" s="518"/>
      <c r="F144" s="518"/>
      <c r="G144" s="341"/>
      <c r="I144" s="358"/>
    </row>
    <row r="145" spans="1:9" s="216" customFormat="1" ht="10.5" customHeight="1" hidden="1">
      <c r="A145" s="340"/>
      <c r="B145" s="517" t="s">
        <v>506</v>
      </c>
      <c r="C145" s="518"/>
      <c r="D145" s="518"/>
      <c r="E145" s="518"/>
      <c r="F145" s="518"/>
      <c r="G145" s="341"/>
      <c r="I145" s="358"/>
    </row>
    <row r="146" spans="1:11" s="216" customFormat="1" ht="12" customHeight="1">
      <c r="A146" s="340"/>
      <c r="B146" s="517" t="s">
        <v>469</v>
      </c>
      <c r="C146" s="518"/>
      <c r="D146" s="518"/>
      <c r="E146" s="518"/>
      <c r="F146" s="518"/>
      <c r="G146" s="341"/>
      <c r="I146" s="358">
        <f>500+750</f>
        <v>1250</v>
      </c>
      <c r="J146" s="216">
        <v>940</v>
      </c>
      <c r="K146" s="358">
        <f>I146+J146</f>
        <v>2190</v>
      </c>
    </row>
    <row r="147" spans="1:9" s="216" customFormat="1" ht="0.75" customHeight="1" hidden="1">
      <c r="A147" s="340"/>
      <c r="B147" s="517" t="s">
        <v>476</v>
      </c>
      <c r="C147" s="518"/>
      <c r="D147" s="518"/>
      <c r="E147" s="518"/>
      <c r="F147" s="518"/>
      <c r="G147" s="337"/>
      <c r="I147" s="358"/>
    </row>
    <row r="148" spans="1:11" s="216" customFormat="1" ht="10.5" customHeight="1">
      <c r="A148" s="340"/>
      <c r="B148" s="516" t="s">
        <v>277</v>
      </c>
      <c r="C148" s="516"/>
      <c r="D148" s="516"/>
      <c r="E148" s="516"/>
      <c r="F148" s="516"/>
      <c r="G148" s="341">
        <f>G139-G141</f>
        <v>-3</v>
      </c>
      <c r="I148" s="357">
        <f>I139-I141</f>
        <v>-1437</v>
      </c>
      <c r="J148" s="357">
        <f>J139-J141</f>
        <v>0</v>
      </c>
      <c r="K148" s="357">
        <f>K139-K141</f>
        <v>-1437</v>
      </c>
    </row>
    <row r="149" spans="1:11" s="216" customFormat="1" ht="12" customHeight="1">
      <c r="A149" s="340"/>
      <c r="B149" s="516" t="s">
        <v>279</v>
      </c>
      <c r="C149" s="516"/>
      <c r="D149" s="516"/>
      <c r="E149" s="516"/>
      <c r="F149" s="516"/>
      <c r="G149" s="341">
        <f>G150+G151+G152</f>
        <v>3</v>
      </c>
      <c r="I149" s="357">
        <f>I150+I151+I152</f>
        <v>1437</v>
      </c>
      <c r="J149" s="357">
        <f>J150+J151+J152</f>
        <v>0</v>
      </c>
      <c r="K149" s="357">
        <f>K150+K151+K152</f>
        <v>1437</v>
      </c>
    </row>
    <row r="150" spans="1:11" s="216" customFormat="1" ht="12" customHeight="1">
      <c r="A150" s="340"/>
      <c r="B150" s="515" t="s">
        <v>278</v>
      </c>
      <c r="C150" s="515"/>
      <c r="D150" s="515"/>
      <c r="E150" s="515"/>
      <c r="F150" s="515"/>
      <c r="G150" s="337">
        <v>3</v>
      </c>
      <c r="I150" s="358">
        <v>1437</v>
      </c>
      <c r="K150" s="358">
        <f>I150+J150</f>
        <v>1437</v>
      </c>
    </row>
    <row r="151" spans="1:7" s="216" customFormat="1" ht="11.25" customHeight="1" hidden="1">
      <c r="A151" s="340"/>
      <c r="B151" s="515" t="s">
        <v>280</v>
      </c>
      <c r="C151" s="515"/>
      <c r="D151" s="515"/>
      <c r="E151" s="515"/>
      <c r="F151" s="515"/>
      <c r="G151" s="337"/>
    </row>
    <row r="152" spans="1:7" s="216" customFormat="1" ht="11.25" customHeight="1" hidden="1">
      <c r="A152" s="340"/>
      <c r="B152" s="515" t="s">
        <v>281</v>
      </c>
      <c r="C152" s="515"/>
      <c r="D152" s="515"/>
      <c r="E152" s="515"/>
      <c r="F152" s="515"/>
      <c r="G152" s="337"/>
    </row>
    <row r="153" spans="1:7" s="216" customFormat="1" ht="6.75" customHeight="1">
      <c r="A153" s="340"/>
      <c r="B153" s="370"/>
      <c r="C153" s="371"/>
      <c r="D153" s="371"/>
      <c r="E153" s="371"/>
      <c r="F153" s="371"/>
      <c r="G153" s="337"/>
    </row>
    <row r="154" spans="1:7" ht="12.75">
      <c r="A154" s="310" t="s">
        <v>114</v>
      </c>
      <c r="B154" s="354" t="s">
        <v>53</v>
      </c>
      <c r="C154" s="354"/>
      <c r="D154" s="354"/>
      <c r="E154" s="4"/>
      <c r="F154" s="4"/>
      <c r="G154" s="4"/>
    </row>
    <row r="155" spans="1:11" s="216" customFormat="1" ht="12" customHeight="1">
      <c r="A155" s="340"/>
      <c r="B155" s="525" t="s">
        <v>503</v>
      </c>
      <c r="C155" s="525"/>
      <c r="D155" s="525"/>
      <c r="E155" s="525"/>
      <c r="F155" s="525"/>
      <c r="G155" s="341">
        <f>G156</f>
        <v>0</v>
      </c>
      <c r="I155" s="357">
        <f>I156</f>
        <v>7441</v>
      </c>
      <c r="J155" s="357">
        <f>J156</f>
        <v>0</v>
      </c>
      <c r="K155" s="357">
        <f>K156</f>
        <v>7441</v>
      </c>
    </row>
    <row r="156" spans="1:11" s="216" customFormat="1" ht="12" customHeight="1">
      <c r="A156" s="340"/>
      <c r="B156" s="514" t="s">
        <v>137</v>
      </c>
      <c r="C156" s="514"/>
      <c r="D156" s="514"/>
      <c r="E156" s="514"/>
      <c r="F156" s="514"/>
      <c r="G156" s="337"/>
      <c r="I156" s="358">
        <f>3271+4170</f>
        <v>7441</v>
      </c>
      <c r="J156" s="358"/>
      <c r="K156" s="358">
        <f>I156+J156</f>
        <v>7441</v>
      </c>
    </row>
    <row r="157" spans="1:11" s="216" customFormat="1" ht="12.75" customHeight="1">
      <c r="A157" s="340"/>
      <c r="B157" s="525" t="s">
        <v>504</v>
      </c>
      <c r="C157" s="525"/>
      <c r="D157" s="525"/>
      <c r="E157" s="525"/>
      <c r="F157" s="525"/>
      <c r="G157" s="341">
        <f>SUM(G158:G163)</f>
        <v>3</v>
      </c>
      <c r="I157" s="357">
        <f>I158+I159+I160+I161+I162+I163</f>
        <v>9730</v>
      </c>
      <c r="J157" s="357">
        <f>J158+J159+J160+J161+J162+J163</f>
        <v>0</v>
      </c>
      <c r="K157" s="357">
        <f>K158+K159+K160+K161+K162+K163</f>
        <v>9730</v>
      </c>
    </row>
    <row r="158" spans="1:9" s="216" customFormat="1" ht="12.75" customHeight="1" hidden="1">
      <c r="A158" s="340"/>
      <c r="B158" s="517" t="s">
        <v>505</v>
      </c>
      <c r="C158" s="518"/>
      <c r="D158" s="518"/>
      <c r="E158" s="518"/>
      <c r="F158" s="518"/>
      <c r="G158" s="337"/>
      <c r="I158" s="358"/>
    </row>
    <row r="159" spans="1:11" s="216" customFormat="1" ht="12" customHeight="1">
      <c r="A159" s="340"/>
      <c r="B159" s="517" t="s">
        <v>465</v>
      </c>
      <c r="C159" s="518"/>
      <c r="D159" s="518"/>
      <c r="E159" s="518"/>
      <c r="F159" s="518"/>
      <c r="G159" s="337">
        <v>3</v>
      </c>
      <c r="I159" s="358">
        <f>1881+4170</f>
        <v>6051</v>
      </c>
      <c r="J159" s="358"/>
      <c r="K159" s="358">
        <f>I159+J159</f>
        <v>6051</v>
      </c>
    </row>
    <row r="160" spans="1:10" s="216" customFormat="1" ht="10.5" customHeight="1" hidden="1">
      <c r="A160" s="340"/>
      <c r="B160" s="517" t="s">
        <v>472</v>
      </c>
      <c r="C160" s="518"/>
      <c r="D160" s="518"/>
      <c r="E160" s="518"/>
      <c r="F160" s="518"/>
      <c r="G160" s="341"/>
      <c r="I160" s="358"/>
      <c r="J160" s="358"/>
    </row>
    <row r="161" spans="1:10" s="216" customFormat="1" ht="10.5" customHeight="1" hidden="1">
      <c r="A161" s="340"/>
      <c r="B161" s="517" t="s">
        <v>506</v>
      </c>
      <c r="C161" s="518"/>
      <c r="D161" s="518"/>
      <c r="E161" s="518"/>
      <c r="F161" s="518"/>
      <c r="G161" s="341"/>
      <c r="I161" s="358"/>
      <c r="J161" s="358"/>
    </row>
    <row r="162" spans="1:10" s="216" customFormat="1" ht="9.75" customHeight="1" hidden="1">
      <c r="A162" s="340"/>
      <c r="B162" s="517" t="s">
        <v>469</v>
      </c>
      <c r="C162" s="518"/>
      <c r="D162" s="518"/>
      <c r="E162" s="518"/>
      <c r="F162" s="518"/>
      <c r="G162" s="341"/>
      <c r="I162" s="358"/>
      <c r="J162" s="358"/>
    </row>
    <row r="163" spans="1:11" s="216" customFormat="1" ht="12" customHeight="1">
      <c r="A163" s="340"/>
      <c r="B163" s="517" t="s">
        <v>476</v>
      </c>
      <c r="C163" s="518"/>
      <c r="D163" s="518"/>
      <c r="E163" s="518"/>
      <c r="F163" s="518"/>
      <c r="G163" s="337"/>
      <c r="I163" s="358">
        <v>3679</v>
      </c>
      <c r="J163" s="358"/>
      <c r="K163" s="358">
        <f>I163+J163</f>
        <v>3679</v>
      </c>
    </row>
    <row r="164" spans="1:11" s="216" customFormat="1" ht="10.5" customHeight="1">
      <c r="A164" s="340"/>
      <c r="B164" s="516" t="s">
        <v>277</v>
      </c>
      <c r="C164" s="516"/>
      <c r="D164" s="516"/>
      <c r="E164" s="516"/>
      <c r="F164" s="516"/>
      <c r="G164" s="341">
        <f>G155-G157</f>
        <v>-3</v>
      </c>
      <c r="I164" s="357">
        <f>I155-I157</f>
        <v>-2289</v>
      </c>
      <c r="J164" s="357">
        <f>J155-J157</f>
        <v>0</v>
      </c>
      <c r="K164" s="357">
        <f>K155-K157</f>
        <v>-2289</v>
      </c>
    </row>
    <row r="165" spans="1:11" s="216" customFormat="1" ht="12" customHeight="1">
      <c r="A165" s="340"/>
      <c r="B165" s="516" t="s">
        <v>279</v>
      </c>
      <c r="C165" s="516"/>
      <c r="D165" s="516"/>
      <c r="E165" s="516"/>
      <c r="F165" s="516"/>
      <c r="G165" s="341">
        <f>G166+G167+G168</f>
        <v>3</v>
      </c>
      <c r="I165" s="357">
        <f>I166+I167+I168</f>
        <v>2289</v>
      </c>
      <c r="J165" s="357">
        <f>J166+J167+J168</f>
        <v>0</v>
      </c>
      <c r="K165" s="357">
        <f>K166+K167+K168</f>
        <v>2289</v>
      </c>
    </row>
    <row r="166" spans="1:11" s="216" customFormat="1" ht="12" customHeight="1">
      <c r="A166" s="340"/>
      <c r="B166" s="515" t="s">
        <v>278</v>
      </c>
      <c r="C166" s="515"/>
      <c r="D166" s="515"/>
      <c r="E166" s="515"/>
      <c r="F166" s="515"/>
      <c r="G166" s="337">
        <v>3</v>
      </c>
      <c r="I166" s="358">
        <v>2289</v>
      </c>
      <c r="K166" s="358">
        <f>I166+J166</f>
        <v>2289</v>
      </c>
    </row>
    <row r="167" spans="1:7" s="216" customFormat="1" ht="11.25" customHeight="1" hidden="1">
      <c r="A167" s="340"/>
      <c r="B167" s="515" t="s">
        <v>280</v>
      </c>
      <c r="C167" s="515"/>
      <c r="D167" s="515"/>
      <c r="E167" s="515"/>
      <c r="F167" s="515"/>
      <c r="G167" s="337"/>
    </row>
    <row r="168" spans="1:7" s="216" customFormat="1" ht="11.25" customHeight="1" hidden="1">
      <c r="A168" s="340"/>
      <c r="B168" s="515" t="s">
        <v>281</v>
      </c>
      <c r="C168" s="515"/>
      <c r="D168" s="515"/>
      <c r="E168" s="515"/>
      <c r="F168" s="515"/>
      <c r="G168" s="337"/>
    </row>
    <row r="169" spans="1:7" s="216" customFormat="1" ht="11.25" customHeight="1">
      <c r="A169" s="340"/>
      <c r="B169" s="342"/>
      <c r="C169" s="342"/>
      <c r="D169" s="342"/>
      <c r="E169" s="342"/>
      <c r="F169" s="342"/>
      <c r="G169" s="337"/>
    </row>
    <row r="170" spans="1:7" s="216" customFormat="1" ht="11.25" customHeight="1" hidden="1">
      <c r="A170" s="340"/>
      <c r="B170" s="515" t="s">
        <v>280</v>
      </c>
      <c r="C170" s="515"/>
      <c r="D170" s="515"/>
      <c r="E170" s="515"/>
      <c r="F170" s="515"/>
      <c r="G170" s="337"/>
    </row>
    <row r="171" spans="1:7" s="216" customFormat="1" ht="11.25" customHeight="1" hidden="1">
      <c r="A171" s="340"/>
      <c r="B171" s="515" t="s">
        <v>281</v>
      </c>
      <c r="C171" s="515"/>
      <c r="D171" s="515"/>
      <c r="E171" s="515"/>
      <c r="F171" s="515"/>
      <c r="G171" s="337"/>
    </row>
    <row r="172" spans="1:7" s="216" customFormat="1" ht="11.25" customHeight="1">
      <c r="A172" s="340"/>
      <c r="B172" s="342"/>
      <c r="C172" s="342"/>
      <c r="D172" s="342"/>
      <c r="E172" s="342"/>
      <c r="F172" s="342"/>
      <c r="G172" s="337"/>
    </row>
    <row r="173" spans="1:7" s="216" customFormat="1" ht="11.25" customHeight="1">
      <c r="A173" s="340"/>
      <c r="B173" s="342"/>
      <c r="C173" s="342"/>
      <c r="D173" s="342"/>
      <c r="E173" s="342"/>
      <c r="F173" s="342"/>
      <c r="G173" s="337"/>
    </row>
    <row r="174" spans="1:11" ht="12.75" customHeight="1">
      <c r="A174" s="359"/>
      <c r="B174" s="215" t="s">
        <v>508</v>
      </c>
      <c r="C174" s="215"/>
      <c r="D174" s="215"/>
      <c r="E174" s="215"/>
      <c r="F174" s="215"/>
      <c r="G174" s="215"/>
      <c r="H174" s="215"/>
      <c r="I174" s="333">
        <f>I11-I16</f>
        <v>-4325</v>
      </c>
      <c r="J174" s="333">
        <f>J11-J16</f>
        <v>0</v>
      </c>
      <c r="K174" s="333">
        <f>K11-K16</f>
        <v>-4325</v>
      </c>
    </row>
    <row r="175" spans="1:11" s="215" customFormat="1" ht="12.75">
      <c r="A175" s="359"/>
      <c r="B175" s="215" t="s">
        <v>509</v>
      </c>
      <c r="I175" s="333">
        <f>SUM(I176)</f>
        <v>4325</v>
      </c>
      <c r="J175" s="333">
        <f>SUM(J176)</f>
        <v>0</v>
      </c>
      <c r="K175" s="333">
        <f>SUM(K176)</f>
        <v>4325</v>
      </c>
    </row>
    <row r="176" spans="1:11" ht="12.75">
      <c r="A176" s="329"/>
      <c r="B176" s="216" t="s">
        <v>133</v>
      </c>
      <c r="C176" s="216"/>
      <c r="D176" s="216"/>
      <c r="E176" s="216"/>
      <c r="F176" s="216"/>
      <c r="G176" s="216"/>
      <c r="H176" s="216"/>
      <c r="I176" s="337">
        <f>SUM(I177:I178)</f>
        <v>4325</v>
      </c>
      <c r="J176" s="337">
        <f>SUM(J177:J178)</f>
        <v>0</v>
      </c>
      <c r="K176" s="337">
        <f>SUM(K177:K178)</f>
        <v>4325</v>
      </c>
    </row>
    <row r="177" spans="1:11" ht="12.75">
      <c r="A177" s="329"/>
      <c r="B177" s="216"/>
      <c r="C177" s="514" t="s">
        <v>134</v>
      </c>
      <c r="D177" s="514"/>
      <c r="E177" s="514"/>
      <c r="F177" s="514"/>
      <c r="G177" s="216"/>
      <c r="H177" s="216"/>
      <c r="I177" s="337">
        <v>4325</v>
      </c>
      <c r="K177" s="358">
        <f>I177+J177</f>
        <v>4325</v>
      </c>
    </row>
    <row r="178" spans="2:11" ht="12.75">
      <c r="B178" s="216"/>
      <c r="C178" s="514" t="s">
        <v>135</v>
      </c>
      <c r="D178" s="514"/>
      <c r="E178" s="514"/>
      <c r="F178" s="514"/>
      <c r="G178" s="216"/>
      <c r="H178" s="216"/>
      <c r="I178" s="336">
        <v>0</v>
      </c>
      <c r="K178" s="216">
        <f>I178+J178</f>
        <v>0</v>
      </c>
    </row>
    <row r="179" ht="12.75">
      <c r="I179" s="329"/>
    </row>
    <row r="180" ht="12.75">
      <c r="I180" s="327"/>
    </row>
    <row r="181" spans="1:10" ht="12.75">
      <c r="A181" s="244" t="s">
        <v>540</v>
      </c>
      <c r="J181" s="244" t="s">
        <v>520</v>
      </c>
    </row>
  </sheetData>
  <mergeCells count="141">
    <mergeCell ref="B156:F156"/>
    <mergeCell ref="B157:F157"/>
    <mergeCell ref="B158:F158"/>
    <mergeCell ref="B159:F159"/>
    <mergeCell ref="B150:F150"/>
    <mergeCell ref="B151:F151"/>
    <mergeCell ref="B152:F152"/>
    <mergeCell ref="B155:F155"/>
    <mergeCell ref="B146:F146"/>
    <mergeCell ref="B147:F147"/>
    <mergeCell ref="B148:F148"/>
    <mergeCell ref="B149:F149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B132:F132"/>
    <mergeCell ref="B133:F133"/>
    <mergeCell ref="B134:F134"/>
    <mergeCell ref="B135:F135"/>
    <mergeCell ref="B128:F128"/>
    <mergeCell ref="B129:F129"/>
    <mergeCell ref="B130:F130"/>
    <mergeCell ref="B131:F131"/>
    <mergeCell ref="B124:F124"/>
    <mergeCell ref="B125:F125"/>
    <mergeCell ref="B126:F126"/>
    <mergeCell ref="B127:F127"/>
    <mergeCell ref="B113:F113"/>
    <mergeCell ref="B120:G120"/>
    <mergeCell ref="B122:E122"/>
    <mergeCell ref="B123:F123"/>
    <mergeCell ref="B108:F108"/>
    <mergeCell ref="B109:F109"/>
    <mergeCell ref="B110:F110"/>
    <mergeCell ref="B112:F112"/>
    <mergeCell ref="B104:F104"/>
    <mergeCell ref="B105:F105"/>
    <mergeCell ref="B106:F106"/>
    <mergeCell ref="B107:F107"/>
    <mergeCell ref="B100:F100"/>
    <mergeCell ref="B101:F101"/>
    <mergeCell ref="B102:F102"/>
    <mergeCell ref="B103:F103"/>
    <mergeCell ref="B96:F96"/>
    <mergeCell ref="B97:F97"/>
    <mergeCell ref="B98:F98"/>
    <mergeCell ref="B99:F99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79:F79"/>
    <mergeCell ref="B80:F80"/>
    <mergeCell ref="B81:F81"/>
    <mergeCell ref="B82:F82"/>
    <mergeCell ref="B74:F74"/>
    <mergeCell ref="B75:F75"/>
    <mergeCell ref="B76:F76"/>
    <mergeCell ref="B78:F78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7:F57"/>
    <mergeCell ref="B58:F58"/>
    <mergeCell ref="B60:F60"/>
    <mergeCell ref="B61:F61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0:F40"/>
    <mergeCell ref="B42:F42"/>
    <mergeCell ref="B43:F43"/>
    <mergeCell ref="B44:F44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1:E21"/>
    <mergeCell ref="B24:F24"/>
    <mergeCell ref="B26:F26"/>
    <mergeCell ref="B27:F27"/>
    <mergeCell ref="C14:F14"/>
    <mergeCell ref="B17:E17"/>
    <mergeCell ref="B18:E18"/>
    <mergeCell ref="B19:E19"/>
    <mergeCell ref="A6:K6"/>
    <mergeCell ref="A7:K7"/>
    <mergeCell ref="B9:G9"/>
    <mergeCell ref="C13:F13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C178:F178"/>
    <mergeCell ref="B168:F168"/>
    <mergeCell ref="B170:F170"/>
    <mergeCell ref="B171:F171"/>
    <mergeCell ref="C177:F177"/>
  </mergeCells>
  <printOptions/>
  <pageMargins left="0.4" right="0.16" top="0.27" bottom="0.37" header="0.17" footer="0.18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RitaLebedeva</cp:lastModifiedBy>
  <cp:lastPrinted>2011-10-28T10:57:54Z</cp:lastPrinted>
  <dcterms:created xsi:type="dcterms:W3CDTF">2006-11-06T19:53:56Z</dcterms:created>
  <dcterms:modified xsi:type="dcterms:W3CDTF">2011-10-28T10:58:36Z</dcterms:modified>
  <cp:category/>
  <cp:version/>
  <cp:contentType/>
  <cp:contentStatus/>
</cp:coreProperties>
</file>